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defaultThemeVersion="124226"/>
  <mc:AlternateContent xmlns:mc="http://schemas.openxmlformats.org/markup-compatibility/2006">
    <mc:Choice Requires="x15">
      <x15ac:absPath xmlns:x15ac="http://schemas.microsoft.com/office/spreadsheetml/2010/11/ac" url="B:\Desktop\"/>
    </mc:Choice>
  </mc:AlternateContent>
  <xr:revisionPtr revIDLastSave="0" documentId="13_ncr:1_{C58CC9F0-19B3-4D8F-8085-3EF0378DF3B2}" xr6:coauthVersionLast="47" xr6:coauthVersionMax="47" xr10:uidLastSave="{00000000-0000-0000-0000-000000000000}"/>
  <workbookProtection workbookAlgorithmName="SHA-512" workbookHashValue="5+/ukwfjcyzjJXHdBYzTT6+ZZJMhgrHQXiB2gdjNHysImYgGsLSk6lb2O+2vhwI5PAfB0te/gL0Dru93awUoFw==" workbookSaltValue="lj4mp1oJobz6OoGCuJ3Bfg==" workbookSpinCount="100000" lockStructure="1"/>
  <bookViews>
    <workbookView xWindow="-108" yWindow="-108" windowWidth="23256" windowHeight="12456" tabRatio="728" xr2:uid="{00000000-000D-0000-FFFF-FFFF0000000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計算シート2(特定親族)" sheetId="20" state="hidden" r:id="rId8"/>
    <sheet name="出力用" sheetId="17" state="hidden" r:id="rId9"/>
    <sheet name="T11所得区分" sheetId="5" state="hidden" r:id="rId10"/>
    <sheet name="T12給与所得" sheetId="6" state="hidden" r:id="rId11"/>
    <sheet name="T12給与所得改正後" sheetId="16" state="hidden" r:id="rId12"/>
    <sheet name="T13人的控除" sheetId="7" state="hidden" r:id="rId13"/>
    <sheet name="T15調整控除" sheetId="9" state="hidden" r:id="rId14"/>
    <sheet name="T16税率等" sheetId="10" state="hidden" r:id="rId15"/>
    <sheet name="修正履歴" sheetId="14" state="hidden" r:id="rId16"/>
  </sheets>
  <externalReferences>
    <externalReference r:id="rId17"/>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海外居住者のための収入等申告書!$A$1:$Q$133</definedName>
    <definedName name="_xlnm.Print_Area" localSheetId="1">記入例と注意事項!$A$1:$AB$134</definedName>
    <definedName name="_xlnm.Print_Area" localSheetId="6">計算シート!$A:$D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C45" i="3"/>
  <c r="N56" i="19" l="1"/>
  <c r="M133" i="19"/>
  <c r="G133" i="19"/>
  <c r="M131" i="19"/>
  <c r="G131" i="19"/>
  <c r="M127" i="19"/>
  <c r="G127" i="19"/>
  <c r="M125" i="19"/>
  <c r="G125" i="19"/>
  <c r="M121" i="19"/>
  <c r="G121" i="19"/>
  <c r="M119" i="19"/>
  <c r="G119" i="19"/>
  <c r="M115" i="19"/>
  <c r="G115" i="19"/>
  <c r="M113" i="19"/>
  <c r="G113" i="19"/>
  <c r="M109" i="19"/>
  <c r="G109" i="19"/>
  <c r="M107" i="19"/>
  <c r="G107" i="19"/>
  <c r="M103" i="19"/>
  <c r="G103" i="19"/>
  <c r="M101" i="19"/>
  <c r="G101" i="19"/>
  <c r="M97" i="19"/>
  <c r="G97" i="19"/>
  <c r="M95" i="19"/>
  <c r="G95" i="19"/>
  <c r="M91" i="19"/>
  <c r="G91" i="19"/>
  <c r="M89" i="19"/>
  <c r="G89" i="19"/>
  <c r="G85" i="19"/>
  <c r="G83" i="19"/>
  <c r="N53" i="19"/>
  <c r="N52" i="19"/>
  <c r="B26" i="3" l="1"/>
  <c r="D23" i="3"/>
  <c r="C23" i="3"/>
  <c r="B23" i="3"/>
  <c r="C44" i="3"/>
  <c r="D13" i="12" l="1"/>
  <c r="D13" i="2"/>
  <c r="M133" i="1" l="1"/>
  <c r="M131" i="1"/>
  <c r="M127" i="1"/>
  <c r="M125" i="1"/>
  <c r="M121" i="1"/>
  <c r="M119" i="1"/>
  <c r="M115" i="1"/>
  <c r="M113" i="1"/>
  <c r="M109" i="1"/>
  <c r="M107" i="1"/>
  <c r="M103" i="1"/>
  <c r="M101" i="1"/>
  <c r="M97" i="1"/>
  <c r="M95" i="1"/>
  <c r="M91" i="1"/>
  <c r="M89" i="1"/>
  <c r="G133" i="1"/>
  <c r="G131" i="1"/>
  <c r="G127" i="1"/>
  <c r="G125" i="1"/>
  <c r="G121" i="1"/>
  <c r="G119" i="1"/>
  <c r="G115" i="1"/>
  <c r="G113" i="1"/>
  <c r="G109" i="1"/>
  <c r="G107" i="1"/>
  <c r="G103" i="1"/>
  <c r="G101" i="1"/>
  <c r="G97" i="1"/>
  <c r="G95" i="1"/>
  <c r="G91" i="1"/>
  <c r="G89" i="1"/>
  <c r="G83" i="1"/>
  <c r="G85" i="1"/>
  <c r="N56" i="1"/>
  <c r="B5" i="1"/>
  <c r="B5" i="19" s="1"/>
  <c r="N53" i="1"/>
  <c r="N52" i="1"/>
  <c r="C65" i="3"/>
  <c r="N27" i="1" l="1"/>
  <c r="M48" i="19" l="1"/>
  <c r="G48" i="19"/>
  <c r="M46" i="19"/>
  <c r="G46" i="19"/>
  <c r="M44" i="19"/>
  <c r="G44" i="19"/>
  <c r="B39" i="19"/>
  <c r="B38" i="19"/>
  <c r="F37" i="19"/>
  <c r="G31" i="19"/>
  <c r="N30" i="19"/>
  <c r="G29" i="19"/>
  <c r="N28" i="19"/>
  <c r="N27" i="19"/>
  <c r="F23" i="19"/>
  <c r="C13" i="19"/>
  <c r="C11" i="19"/>
  <c r="O2" i="19"/>
  <c r="D19" i="13"/>
  <c r="P72" i="13"/>
  <c r="B38" i="1" l="1"/>
  <c r="F37" i="1"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9" i="3" l="1"/>
  <c r="C46" i="3" l="1"/>
  <c r="C13" i="1"/>
  <c r="C11" i="1"/>
  <c r="B39" i="1"/>
  <c r="C69" i="3" l="1"/>
  <c r="B70" i="1" s="1"/>
  <c r="B70" i="19" s="1"/>
  <c r="H53" i="19" l="1"/>
  <c r="H52" i="19"/>
  <c r="D38" i="3"/>
  <c r="D37" i="3"/>
  <c r="D36" i="3"/>
  <c r="B24" i="1"/>
  <c r="H52" i="1"/>
  <c r="H53" i="1"/>
  <c r="B1" i="3"/>
  <c r="L33" i="1"/>
  <c r="B36" i="19"/>
  <c r="K17" i="19"/>
  <c r="A34" i="19"/>
  <c r="B28" i="19"/>
  <c r="G17" i="19"/>
  <c r="B25" i="19"/>
  <c r="B30" i="19"/>
  <c r="B66" i="13"/>
  <c r="B64" i="19"/>
  <c r="L33" i="19"/>
  <c r="C17" i="19"/>
  <c r="B59" i="13"/>
  <c r="B31" i="19"/>
  <c r="M13" i="19"/>
  <c r="A42" i="19"/>
  <c r="B23" i="19"/>
  <c r="J29" i="19"/>
  <c r="A50" i="19"/>
  <c r="F33" i="19"/>
  <c r="B27" i="19"/>
  <c r="G15" i="19"/>
  <c r="B60" i="13"/>
  <c r="B26" i="19"/>
  <c r="G13" i="19"/>
  <c r="B40" i="19"/>
  <c r="N29" i="19"/>
  <c r="A22" i="19"/>
  <c r="B29" i="19"/>
  <c r="C15" i="19"/>
  <c r="B65" i="13"/>
  <c r="B37" i="19"/>
  <c r="B24" i="19"/>
  <c r="B65" i="19"/>
  <c r="K17" i="1"/>
  <c r="G17" i="1"/>
  <c r="C17" i="1"/>
  <c r="C15" i="1"/>
  <c r="B64" i="1"/>
  <c r="B65" i="1"/>
  <c r="B37" i="1"/>
  <c r="B23" i="1"/>
  <c r="J29" i="1"/>
  <c r="M13" i="1"/>
  <c r="G15" i="1"/>
  <c r="N29" i="1"/>
  <c r="A22" i="1"/>
  <c r="C1" i="3"/>
  <c r="B36" i="1"/>
  <c r="B28" i="1"/>
  <c r="B40" i="1"/>
  <c r="B27" i="1"/>
  <c r="B26" i="1"/>
  <c r="F33" i="1"/>
  <c r="B25" i="1"/>
  <c r="A34" i="1"/>
  <c r="G13" i="1"/>
  <c r="B31" i="1"/>
  <c r="A42" i="1"/>
  <c r="A50" i="1"/>
  <c r="B30" i="1"/>
  <c r="B29" i="1"/>
  <c r="I87" i="19" l="1"/>
  <c r="I123" i="19"/>
  <c r="I99" i="19"/>
  <c r="I81" i="19"/>
  <c r="I129" i="19"/>
  <c r="I105" i="19"/>
  <c r="I111" i="19"/>
  <c r="I117" i="19"/>
  <c r="I93" i="19"/>
  <c r="B117" i="19"/>
  <c r="B93" i="19"/>
  <c r="B81" i="19"/>
  <c r="B129" i="19"/>
  <c r="B111" i="19"/>
  <c r="B123" i="19"/>
  <c r="B99" i="19"/>
  <c r="B105" i="19"/>
  <c r="B87" i="19"/>
  <c r="B129" i="1"/>
  <c r="B81" i="1"/>
  <c r="B123" i="1"/>
  <c r="B117" i="1"/>
  <c r="B111" i="1"/>
  <c r="B105" i="1"/>
  <c r="B99" i="1"/>
  <c r="B93" i="1"/>
  <c r="B87" i="1"/>
  <c r="M33" i="1"/>
  <c r="N34" i="1" s="1"/>
  <c r="I123" i="1"/>
  <c r="I117" i="1"/>
  <c r="I111" i="1"/>
  <c r="I105" i="1"/>
  <c r="I99" i="1"/>
  <c r="I93" i="1"/>
  <c r="I87" i="1"/>
  <c r="I129" i="1"/>
  <c r="I81" i="1"/>
  <c r="N36" i="1"/>
  <c r="N35" i="1"/>
  <c r="N44" i="1"/>
  <c r="L42" i="19"/>
  <c r="L50" i="19"/>
  <c r="L34" i="19"/>
  <c r="L34" i="1"/>
  <c r="D1" i="3"/>
  <c r="V14" i="2"/>
  <c r="N46" i="1" l="1"/>
  <c r="N48" i="1"/>
  <c r="N45" i="1"/>
  <c r="N47" i="1"/>
  <c r="N43" i="1"/>
  <c r="N42" i="1"/>
  <c r="N38" i="1"/>
  <c r="N39" i="1"/>
  <c r="D65" i="3"/>
  <c r="A2" i="17"/>
  <c r="EJ2" i="17"/>
  <c r="EF2" i="17"/>
  <c r="DG2" i="17"/>
  <c r="DF2" i="17"/>
  <c r="W2" i="17"/>
  <c r="J2" i="17"/>
  <c r="EG2" i="17"/>
  <c r="EP2" i="17"/>
  <c r="ED2" i="17"/>
  <c r="EE2" i="17"/>
  <c r="N2" i="17"/>
  <c r="F2" i="17"/>
  <c r="EI2" i="17"/>
  <c r="U2" i="17"/>
  <c r="O2" i="17"/>
  <c r="EH2" i="17"/>
  <c r="L2" i="17"/>
  <c r="M2" i="17"/>
  <c r="E2" i="17"/>
  <c r="I2" i="17"/>
  <c r="K2" i="17"/>
  <c r="D19" i="11" l="1"/>
  <c r="C58" i="3"/>
  <c r="O2" i="1" l="1"/>
  <c r="BY2" i="17"/>
  <c r="C64" i="3" l="1"/>
  <c r="C51" i="3"/>
  <c r="B71" i="1" s="1"/>
  <c r="B71" i="19" s="1"/>
  <c r="C49" i="3"/>
  <c r="C48" i="3"/>
  <c r="CC2" i="17"/>
  <c r="D3" i="20" l="1"/>
  <c r="C15" i="20"/>
  <c r="F15" i="20"/>
  <c r="F3" i="20"/>
  <c r="C3" i="20"/>
  <c r="B15" i="20"/>
  <c r="G15" i="20"/>
  <c r="G3" i="20"/>
  <c r="H15" i="20"/>
  <c r="J15" i="20"/>
  <c r="I3" i="20"/>
  <c r="H3" i="20"/>
  <c r="I15" i="20"/>
  <c r="E15" i="20"/>
  <c r="E3" i="20"/>
  <c r="D15" i="20"/>
  <c r="J3" i="20"/>
  <c r="B3" i="20"/>
  <c r="O74" i="12"/>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Z2" i="17"/>
  <c r="F8" i="3" l="1"/>
  <c r="F10" i="3"/>
  <c r="B36" i="11"/>
  <c r="F9" i="3"/>
  <c r="C47" i="3"/>
  <c r="V2" i="17"/>
  <c r="DH2" i="17"/>
  <c r="CA2" i="17"/>
  <c r="CB2" i="17"/>
  <c r="C57" i="3" l="1"/>
  <c r="B2" i="3"/>
  <c r="B61" i="13"/>
  <c r="B67" i="19"/>
  <c r="B62" i="13"/>
  <c r="B20" i="19"/>
  <c r="B66" i="19"/>
  <c r="B19" i="19"/>
  <c r="B19" i="1"/>
  <c r="C2" i="3"/>
  <c r="C50" i="3"/>
  <c r="Q46" i="13"/>
  <c r="D2" i="3"/>
  <c r="D27" i="3" s="1"/>
  <c r="B20" i="1"/>
  <c r="L46" i="11"/>
  <c r="B67" i="1"/>
  <c r="B66" i="1"/>
  <c r="C56" i="3"/>
  <c r="B2" i="17"/>
  <c r="CD2" i="17"/>
  <c r="CN2" i="17"/>
  <c r="CE2" i="17"/>
  <c r="AI2" i="17"/>
  <c r="B27" i="3" l="1"/>
  <c r="B3" i="3"/>
  <c r="B4" i="3" s="1"/>
  <c r="B26" i="20"/>
  <c r="G18" i="20"/>
  <c r="G4" i="20"/>
  <c r="G5" i="20" s="1"/>
  <c r="B4" i="20"/>
  <c r="B5" i="20" s="1"/>
  <c r="D6" i="20"/>
  <c r="J16" i="20"/>
  <c r="J17" i="20" s="1"/>
  <c r="F4" i="20"/>
  <c r="F18" i="20"/>
  <c r="C6" i="20"/>
  <c r="H18" i="20"/>
  <c r="G16" i="20"/>
  <c r="G17" i="20" s="1"/>
  <c r="G19" i="20" s="1"/>
  <c r="E18" i="20"/>
  <c r="J4" i="20"/>
  <c r="J5" i="20" s="1"/>
  <c r="E16" i="20"/>
  <c r="E17" i="20" s="1"/>
  <c r="E19" i="20" s="1"/>
  <c r="J6" i="20"/>
  <c r="B6" i="20"/>
  <c r="D18" i="20"/>
  <c r="I16" i="20"/>
  <c r="I17" i="20" s="1"/>
  <c r="E4" i="20"/>
  <c r="E5" i="20" s="1"/>
  <c r="I6" i="20"/>
  <c r="C18" i="20"/>
  <c r="I4" i="20"/>
  <c r="I5" i="20" s="1"/>
  <c r="I7" i="20" s="1"/>
  <c r="D16" i="20"/>
  <c r="D17" i="20" s="1"/>
  <c r="H6" i="20"/>
  <c r="J18" i="20"/>
  <c r="B18" i="20"/>
  <c r="H16" i="20"/>
  <c r="H17" i="20" s="1"/>
  <c r="H19" i="20" s="1"/>
  <c r="D4" i="20"/>
  <c r="D5" i="20" s="1"/>
  <c r="G6" i="20"/>
  <c r="I18" i="20"/>
  <c r="F16" i="20"/>
  <c r="F17" i="20" s="1"/>
  <c r="H4" i="20"/>
  <c r="C16" i="20"/>
  <c r="C17" i="20" s="1"/>
  <c r="F6" i="20"/>
  <c r="B16" i="20"/>
  <c r="B17" i="20" s="1"/>
  <c r="B19" i="20" s="1"/>
  <c r="C4" i="20"/>
  <c r="C5" i="20" s="1"/>
  <c r="E6" i="20"/>
  <c r="D3" i="3"/>
  <c r="D52" i="3" s="1"/>
  <c r="B16" i="13"/>
  <c r="B15" i="13"/>
  <c r="B15" i="11"/>
  <c r="D7" i="3"/>
  <c r="C3" i="3"/>
  <c r="C59" i="3"/>
  <c r="B32" i="20" s="1"/>
  <c r="B33" i="20" s="1"/>
  <c r="C7" i="3"/>
  <c r="C5" i="3"/>
  <c r="C6" i="3" s="1"/>
  <c r="D5" i="3"/>
  <c r="D6" i="3" s="1"/>
  <c r="B7" i="3"/>
  <c r="B16" i="11"/>
  <c r="N30" i="1"/>
  <c r="CQ2" i="17"/>
  <c r="AL2" i="17"/>
  <c r="AN2" i="17"/>
  <c r="Z2" i="17"/>
  <c r="CO2" i="17"/>
  <c r="CK2" i="17"/>
  <c r="CS2" i="17"/>
  <c r="AJ2" i="17"/>
  <c r="G2" i="17"/>
  <c r="C2" i="17"/>
  <c r="CR2" i="17"/>
  <c r="G7" i="20" l="1"/>
  <c r="E7" i="20"/>
  <c r="C19" i="20"/>
  <c r="D7" i="20"/>
  <c r="I19" i="20"/>
  <c r="D19" i="20"/>
  <c r="J19" i="20"/>
  <c r="J20" i="20" s="1"/>
  <c r="J22" i="20" s="1"/>
  <c r="J7" i="20"/>
  <c r="F19" i="20"/>
  <c r="F20" i="20" s="1"/>
  <c r="F22" i="20" s="1"/>
  <c r="C7" i="20"/>
  <c r="B7" i="20"/>
  <c r="C52" i="3"/>
  <c r="D55" i="3"/>
  <c r="D53" i="3" s="1"/>
  <c r="C25" i="3"/>
  <c r="F5" i="20"/>
  <c r="H5" i="20"/>
  <c r="I8" i="20"/>
  <c r="I10" i="20" s="1"/>
  <c r="H20" i="20"/>
  <c r="H22" i="20" s="1"/>
  <c r="G20" i="20"/>
  <c r="G22" i="20" s="1"/>
  <c r="E20" i="20"/>
  <c r="E21" i="20" s="1"/>
  <c r="D8" i="20"/>
  <c r="D9" i="20" s="1"/>
  <c r="N28" i="1"/>
  <c r="EO2" i="17"/>
  <c r="D2" i="17"/>
  <c r="AM2" i="17"/>
  <c r="C55" i="3" l="1"/>
  <c r="C53" i="3" s="1"/>
  <c r="H7" i="20"/>
  <c r="H8" i="20" s="1"/>
  <c r="H9" i="20" s="1"/>
  <c r="F7" i="20"/>
  <c r="F8" i="20" s="1"/>
  <c r="F10" i="20" s="1"/>
  <c r="B20" i="20"/>
  <c r="B22" i="20" s="1"/>
  <c r="B8" i="3"/>
  <c r="I9" i="20"/>
  <c r="F21" i="20"/>
  <c r="J21" i="20"/>
  <c r="E22" i="20"/>
  <c r="G21" i="20"/>
  <c r="J8" i="20"/>
  <c r="J10" i="20" s="1"/>
  <c r="H21" i="20"/>
  <c r="G8" i="20"/>
  <c r="G10" i="20" s="1"/>
  <c r="C8" i="20"/>
  <c r="C10" i="20" s="1"/>
  <c r="D20" i="20"/>
  <c r="D21" i="20" s="1"/>
  <c r="D10" i="20"/>
  <c r="E8" i="20"/>
  <c r="E10" i="20" s="1"/>
  <c r="B8" i="20"/>
  <c r="B10" i="20" s="1"/>
  <c r="I20" i="20"/>
  <c r="I21" i="20" s="1"/>
  <c r="C20" i="20"/>
  <c r="C22" i="20" s="1"/>
  <c r="L50" i="1"/>
  <c r="D43" i="3"/>
  <c r="EC2" i="17"/>
  <c r="AP2" i="17"/>
  <c r="CJ2" i="17"/>
  <c r="C37" i="3" l="1"/>
  <c r="C36" i="3"/>
  <c r="B27" i="20"/>
  <c r="B20" i="3"/>
  <c r="C38" i="3"/>
  <c r="F9" i="20"/>
  <c r="H10" i="20"/>
  <c r="L10" i="20" s="1"/>
  <c r="B21" i="20"/>
  <c r="I22" i="20"/>
  <c r="C21" i="20"/>
  <c r="G9" i="20"/>
  <c r="J9" i="20"/>
  <c r="C9" i="20"/>
  <c r="L8" i="20"/>
  <c r="L20" i="20"/>
  <c r="D13" i="3" s="1"/>
  <c r="B9" i="20"/>
  <c r="E9" i="20"/>
  <c r="D22" i="20"/>
  <c r="D77" i="1"/>
  <c r="D9" i="3"/>
  <c r="D42" i="3"/>
  <c r="L42" i="1"/>
  <c r="B18" i="3"/>
  <c r="B17" i="3"/>
  <c r="D39" i="3" s="1"/>
  <c r="G31" i="1"/>
  <c r="G29" i="1"/>
  <c r="R2" i="17"/>
  <c r="EB2" i="17"/>
  <c r="CU2" i="17"/>
  <c r="Q2" i="17"/>
  <c r="P2" i="17"/>
  <c r="B29" i="20" l="1"/>
  <c r="B31" i="20" s="1"/>
  <c r="L22" i="20"/>
  <c r="D16" i="3" s="1"/>
  <c r="L21" i="20"/>
  <c r="L9" i="20"/>
  <c r="C16" i="3"/>
  <c r="D41" i="3"/>
  <c r="B25" i="3"/>
  <c r="C60" i="3"/>
  <c r="C43" i="3"/>
  <c r="M46" i="1"/>
  <c r="M48" i="1"/>
  <c r="D15" i="3"/>
  <c r="D14" i="3"/>
  <c r="C15" i="3"/>
  <c r="C14" i="3"/>
  <c r="Y2" i="17"/>
  <c r="EA2" i="17"/>
  <c r="DA2" i="17"/>
  <c r="CZ2" i="17"/>
  <c r="H2" i="17"/>
  <c r="X2" i="17"/>
  <c r="AV2" i="17"/>
  <c r="BX2" i="17"/>
  <c r="AU2" i="17"/>
  <c r="B30" i="20" l="1"/>
  <c r="C67" i="3" s="1"/>
  <c r="C66" i="3" s="1"/>
  <c r="D40" i="3"/>
  <c r="C77" i="1"/>
  <c r="C13" i="3"/>
  <c r="D25" i="3"/>
  <c r="M44" i="1"/>
  <c r="DV2" i="17"/>
  <c r="S2" i="17"/>
  <c r="DW2" i="17"/>
  <c r="CY2" i="17"/>
  <c r="BR2" i="17"/>
  <c r="T2" i="17"/>
  <c r="BQ2" i="17"/>
  <c r="C41" i="3" l="1"/>
  <c r="C40" i="3" s="1"/>
  <c r="C39" i="3"/>
  <c r="B32" i="3"/>
  <c r="B28" i="3"/>
  <c r="D12" i="3"/>
  <c r="C12" i="3"/>
  <c r="AA2" i="17"/>
  <c r="CX2" i="17"/>
  <c r="AS2" i="17"/>
  <c r="BS2" i="17"/>
  <c r="AE2" i="17"/>
  <c r="DX2" i="17"/>
  <c r="DZ2" i="17"/>
  <c r="BU2" i="17"/>
  <c r="AT2" i="17"/>
  <c r="C54" i="3" l="1"/>
  <c r="C4" i="3" s="1"/>
  <c r="C8" i="3" s="1"/>
  <c r="D54" i="3"/>
  <c r="D4" i="3" s="1"/>
  <c r="D8" i="3" s="1"/>
  <c r="EV2" i="17"/>
  <c r="H75" i="1"/>
  <c r="B29" i="3"/>
  <c r="B30" i="3" s="1"/>
  <c r="C42" i="3"/>
  <c r="AD2" i="17"/>
  <c r="BT2" i="17"/>
  <c r="AB2" i="17"/>
  <c r="BV2" i="17"/>
  <c r="BW2" i="17"/>
  <c r="AC2" i="17"/>
  <c r="DY2" i="17"/>
  <c r="C10" i="3" l="1"/>
  <c r="D10" i="3"/>
  <c r="D11" i="3" s="1"/>
  <c r="H74" i="1"/>
  <c r="EU2" i="17"/>
  <c r="B33" i="3"/>
  <c r="AF2" i="17"/>
  <c r="B34" i="3" l="1"/>
  <c r="B35" i="3" s="1"/>
  <c r="AG2" i="17"/>
  <c r="AH2" i="17"/>
  <c r="C74" i="1" l="1"/>
  <c r="AK2" i="17"/>
  <c r="EK2" i="17"/>
  <c r="CI2" i="17"/>
  <c r="EQ2" i="17"/>
  <c r="ER2" i="17"/>
  <c r="BB2" i="17"/>
  <c r="EM2" i="17"/>
  <c r="EL2" i="17"/>
  <c r="AO2" i="17"/>
  <c r="CH2" i="17"/>
  <c r="CP2" i="17"/>
  <c r="CL2" i="17"/>
  <c r="CT2" i="17"/>
  <c r="EN2" i="17"/>
  <c r="CF2" i="17"/>
  <c r="CG2" i="17"/>
  <c r="CM2" i="17"/>
  <c r="C24" i="3" l="1"/>
  <c r="C26" i="3" s="1"/>
  <c r="D24" i="3"/>
  <c r="C22" i="3"/>
  <c r="C20" i="3" s="1"/>
  <c r="AQ2" i="17"/>
  <c r="DJ2" i="17"/>
  <c r="BC2" i="17"/>
  <c r="BA2" i="17"/>
  <c r="CV2" i="17"/>
  <c r="C27" i="3" l="1"/>
  <c r="C68" i="3"/>
  <c r="EW2" i="17" s="1"/>
  <c r="D26" i="3"/>
  <c r="C18" i="3"/>
  <c r="C19" i="3"/>
  <c r="D31" i="3"/>
  <c r="C17" i="3"/>
  <c r="D19" i="3"/>
  <c r="C31" i="3"/>
  <c r="D18" i="3"/>
  <c r="C11" i="3"/>
  <c r="D17" i="3"/>
  <c r="AZ2" i="17"/>
  <c r="DE2" i="17"/>
  <c r="DB2" i="17"/>
  <c r="DD2" i="17"/>
  <c r="DC2" i="17"/>
  <c r="AY2" i="17"/>
  <c r="AX2" i="17"/>
  <c r="DL2" i="17"/>
  <c r="DI2" i="17"/>
  <c r="BE2" i="17"/>
  <c r="AR2" i="17"/>
  <c r="AW2" i="17"/>
  <c r="CW2" i="17"/>
  <c r="BD2" i="17"/>
  <c r="K74" i="1" l="1"/>
  <c r="C28" i="3"/>
  <c r="D32" i="3"/>
  <c r="C32" i="3"/>
  <c r="D28" i="3"/>
  <c r="BH2" i="17"/>
  <c r="BF2" i="17"/>
  <c r="BL2" i="17"/>
  <c r="BG2" i="17"/>
  <c r="DQ2" i="17"/>
  <c r="DM2" i="17"/>
  <c r="DK2" i="17"/>
  <c r="D29" i="3" l="1"/>
  <c r="C29" i="3"/>
  <c r="C30" i="3" s="1"/>
  <c r="BI2" i="17"/>
  <c r="DN2" i="17"/>
  <c r="C33" i="3" l="1"/>
  <c r="D33" i="3"/>
  <c r="D30" i="3"/>
  <c r="DO2" i="17"/>
  <c r="DP2" i="17"/>
  <c r="BK2" i="17"/>
  <c r="DR2" i="17"/>
  <c r="BM2" i="17"/>
  <c r="BJ2" i="17"/>
  <c r="C34" i="3" l="1"/>
  <c r="C35" i="3" s="1"/>
  <c r="D34" i="3"/>
  <c r="D35" i="3" s="1"/>
  <c r="BP2" i="17"/>
  <c r="DU2" i="17"/>
  <c r="DT2" i="17"/>
  <c r="DS2" i="17"/>
  <c r="BN2" i="17"/>
  <c r="BO2" i="17"/>
  <c r="B28" i="20" l="1"/>
  <c r="D60" i="3"/>
  <c r="D61" i="3" l="1"/>
  <c r="D63" i="3" s="1"/>
  <c r="C61" i="3"/>
  <c r="C62" i="3" s="1"/>
  <c r="D62" i="3" l="1"/>
  <c r="D75" i="1" s="1"/>
  <c r="C63" i="3"/>
  <c r="C75" i="1"/>
  <c r="D76" i="1"/>
  <c r="ET2" i="17"/>
  <c r="ES2" i="17" l="1"/>
  <c r="C76" i="1"/>
</calcChain>
</file>

<file path=xl/sharedStrings.xml><?xml version="1.0" encoding="utf-8"?>
<sst xmlns="http://schemas.openxmlformats.org/spreadsheetml/2006/main" count="2429" uniqueCount="1098">
  <si>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</si>
  <si>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</si>
  <si>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</si>
  <si>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</si>
  <si>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</si>
  <si>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</si>
  <si>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</si>
  <si>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</si>
  <si>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</si>
  <si>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</si>
  <si>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</si>
  <si>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</si>
  <si>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</si>
  <si>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</si>
  <si>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</si>
  <si>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</si>
  <si>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</si>
  <si>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</si>
  <si>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</si>
  <si>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</si>
  <si>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</si>
  <si>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</si>
  <si>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</si>
  <si>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</si>
  <si>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</si>
  <si>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</si>
  <si>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</si>
  <si>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</si>
  <si>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</si>
  <si>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</si>
  <si>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</si>
  <si>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</si>
  <si>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</si>
  <si>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</si>
  <si>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</si>
  <si>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</si>
  <si>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</si>
  <si>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</si>
  <si>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</si>
  <si>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</si>
  <si>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</si>
  <si>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</si>
  <si>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</si>
  <si>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</si>
  <si>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</si>
  <si>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</si>
  <si>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</si>
  <si>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</si>
  <si>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</si>
  <si>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</si>
  <si>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</si>
  <si>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</si>
  <si>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</si>
  <si>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</si>
  <si>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</si>
  <si>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</si>
  <si>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</si>
  <si>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</si>
  <si>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</si>
  <si>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</si>
  <si>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</si>
  <si>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</si>
  <si>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</si>
  <si>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</si>
  <si>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</si>
  <si>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</si>
  <si>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</si>
  <si>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</si>
  <si>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</si>
  <si>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</si>
  <si>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</si>
  <si>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</si>
  <si>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</si>
  <si>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</si>
  <si>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</si>
  <si>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</si>
  <si>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</si>
  <si>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</si>
  <si>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</si>
  <si>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</si>
  <si>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</si>
  <si>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</si>
  <si>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</si>
  <si>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</si>
  <si>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</si>
  <si>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</si>
  <si>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</si>
  <si>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</si>
  <si>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10000000未満の給与所得金額</t>
    <rPh sb="8" eb="10">
      <t>ミマン</t>
    </rPh>
    <rPh sb="11" eb="13">
      <t>キュウヨ</t>
    </rPh>
    <rPh sb="13" eb="15">
      <t>ショトク</t>
    </rPh>
    <rPh sb="15" eb="17">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</si>
  <si>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</si>
  <si>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</si>
  <si>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</si>
  <si>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</si>
  <si>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</si>
  <si>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</si>
  <si>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</si>
  <si>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</si>
  <si>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</si>
  <si>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</si>
  <si>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</si>
  <si>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</si>
  <si>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</si>
  <si>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</si>
  <si>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</si>
  <si>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</si>
  <si>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</si>
  <si>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</si>
  <si>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</si>
  <si>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</si>
  <si>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</si>
  <si>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</si>
  <si>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</si>
  <si>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</si>
  <si>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</si>
  <si>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</si>
  <si>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</si>
  <si>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</si>
  <si>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</si>
  <si>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</si>
  <si>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</si>
  <si>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</si>
  <si>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</si>
  <si>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</si>
  <si>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</si>
  <si>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</si>
  <si>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</si>
  <si>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</si>
  <si>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</si>
  <si>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</si>
  <si>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</si>
  <si>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</si>
  <si>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</si>
  <si>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</si>
  <si>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</si>
  <si>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</si>
  <si>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</si>
  <si>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</si>
  <si>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</si>
  <si>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</si>
  <si>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</si>
  <si>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</si>
  <si>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</si>
  <si>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</si>
  <si>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</si>
  <si>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</si>
  <si>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</si>
  <si>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</si>
  <si>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</si>
  <si>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</si>
  <si>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</si>
  <si>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</si>
  <si>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</si>
  <si>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</si>
  <si>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</si>
  <si>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</si>
  <si>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</si>
  <si>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</si>
  <si>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</si>
  <si>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</si>
  <si>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</si>
  <si>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</si>
  <si>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</si>
  <si>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</si>
  <si>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</si>
  <si>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</si>
  <si>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</si>
  <si>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</si>
  <si>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</si>
  <si>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</si>
  <si>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</si>
  <si>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</si>
  <si>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</si>
  <si>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</si>
  <si>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</si>
  <si>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</si>
  <si>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</si>
  <si>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</si>
  <si>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</si>
  <si>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</si>
  <si>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</si>
  <si>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</si>
  <si>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</si>
  <si>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</si>
  <si>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</si>
  <si>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</si>
  <si>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</si>
  <si>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</si>
  <si>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</si>
  <si>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</si>
  <si>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</si>
  <si>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</si>
  <si>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</si>
  <si>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</si>
  <si>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</si>
  <si>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</si>
  <si>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</si>
  <si>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</si>
  <si>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</si>
  <si>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</si>
  <si>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</si>
  <si>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</si>
  <si>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</si>
  <si>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</si>
  <si>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</si>
  <si>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</si>
  <si>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</si>
  <si>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</si>
  <si>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</si>
  <si>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</si>
  <si>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</si>
  <si>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</si>
  <si>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</si>
  <si>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</si>
  <si>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</si>
  <si>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</si>
  <si>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</si>
  <si>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</si>
  <si>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</si>
  <si>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</si>
  <si>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</si>
  <si>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</si>
  <si>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</si>
  <si>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</si>
  <si>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</si>
  <si>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</si>
  <si>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</si>
  <si>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</si>
  <si>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</si>
  <si>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</si>
  <si>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</si>
  <si>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</si>
  <si>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</si>
  <si>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</si>
  <si>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</si>
  <si>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</si>
  <si>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</si>
  <si>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</si>
  <si>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</si>
  <si>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</si>
  <si>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</si>
  <si>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</si>
  <si>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</si>
  <si>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</si>
  <si>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</si>
  <si>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</si>
  <si>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</si>
  <si>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</si>
  <si>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</si>
  <si>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</si>
  <si>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</si>
  <si>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</si>
  <si>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</si>
  <si>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</si>
  <si>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</si>
  <si>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</si>
  <si>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</si>
  <si>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</si>
  <si>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</si>
  <si>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</si>
  <si>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</si>
  <si>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</si>
  <si>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</si>
  <si>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</si>
  <si>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</si>
  <si>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</si>
  <si>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</si>
  <si>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</si>
  <si>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</si>
  <si>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</si>
  <si>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</si>
  <si>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</si>
  <si>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</si>
  <si>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</si>
  <si>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</si>
  <si>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</si>
  <si>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</si>
  <si>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</si>
  <si>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</si>
  <si>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</si>
  <si>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</si>
  <si>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</si>
  <si>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</si>
  <si>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</si>
  <si>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</si>
  <si>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</si>
  <si>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</si>
  <si>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</si>
  <si>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</si>
  <si>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</si>
  <si>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</si>
  <si>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</si>
  <si>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</si>
  <si>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</si>
  <si>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</si>
  <si>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</si>
  <si>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</si>
  <si>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</si>
  <si>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</si>
  <si>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</si>
  <si>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</si>
  <si>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</si>
  <si>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</si>
  <si>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</si>
  <si>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</si>
  <si>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</si>
  <si>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</si>
  <si>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</si>
  <si>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</si>
  <si>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</si>
  <si>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</si>
  <si>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</si>
  <si>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</si>
  <si>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</si>
  <si>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</si>
  <si>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</si>
  <si>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</si>
  <si>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</si>
  <si>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</si>
  <si>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</si>
  <si>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</si>
  <si>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</si>
  <si>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</si>
  <si>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</si>
  <si>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</si>
  <si>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</si>
  <si>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</si>
  <si>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</si>
  <si>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</si>
  <si>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</si>
  <si>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</si>
  <si>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</si>
  <si>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</si>
  <si>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</si>
  <si>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</si>
  <si>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</si>
  <si>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</si>
  <si>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</si>
  <si>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</si>
  <si>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</si>
  <si>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</si>
  <si>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</si>
  <si>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</si>
  <si>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</si>
  <si>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</si>
  <si>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</si>
  <si>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</si>
  <si>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</si>
  <si>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</si>
  <si>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</si>
  <si>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</si>
  <si>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</si>
  <si>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</si>
  <si>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</si>
  <si>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</si>
  <si>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</si>
  <si>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</si>
  <si>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</si>
  <si>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</si>
  <si>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</si>
  <si>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</si>
  <si>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</si>
  <si>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</si>
  <si>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</si>
  <si>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</si>
  <si>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</si>
  <si>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</si>
  <si>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</si>
  <si>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</si>
  <si>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</si>
  <si>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</si>
  <si>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</si>
  <si>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</si>
  <si>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</si>
  <si>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</si>
  <si>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</si>
  <si>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</si>
  <si>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</si>
  <si>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</si>
  <si>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</si>
  <si>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</si>
  <si>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</si>
  <si>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</si>
  <si>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</si>
  <si>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</si>
  <si>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</si>
  <si>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</si>
  <si>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</si>
  <si>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</si>
  <si>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</si>
  <si>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</si>
  <si>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</si>
  <si>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</si>
  <si>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</si>
  <si>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</si>
  <si>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</si>
  <si>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</si>
  <si>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</si>
  <si>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</si>
  <si>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</si>
  <si>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</si>
  <si>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</si>
  <si>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</si>
  <si>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</si>
  <si>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</si>
  <si>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</si>
  <si>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</si>
  <si>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</si>
  <si>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</si>
  <si>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</si>
  <si>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</si>
  <si>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</si>
  <si>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</si>
  <si>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</si>
  <si>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</si>
  <si>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</si>
  <si>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</si>
  <si>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</si>
  <si>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</si>
  <si>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</si>
  <si>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</si>
  <si>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</si>
  <si>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</si>
  <si>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</si>
  <si>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</si>
  <si>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</si>
  <si>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</si>
  <si>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</si>
  <si>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</si>
  <si>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</si>
  <si>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</si>
  <si>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</si>
  <si>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</si>
  <si>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</si>
  <si>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</si>
  <si>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</si>
  <si>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</si>
  <si>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</si>
  <si>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</si>
  <si>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</si>
  <si>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</si>
  <si>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</si>
  <si>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</si>
  <si>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</si>
  <si>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</si>
  <si>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</si>
  <si>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</si>
  <si>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</si>
  <si>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</si>
  <si>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</si>
  <si>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</si>
  <si>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</si>
  <si>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</si>
  <si>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2.60</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</si>
  <si>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</si>
  <si>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</si>
  <si>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</si>
  <si>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</si>
  <si>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</si>
  <si>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</si>
  <si>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</si>
  <si>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</si>
  <si>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</si>
  <si>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</si>
  <si>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</si>
  <si>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</si>
  <si>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</si>
  <si>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</si>
  <si>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</si>
  <si>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</si>
  <si>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</si>
  <si>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</si>
  <si>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</si>
  <si>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</si>
  <si>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</si>
  <si>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</si>
  <si>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</si>
  <si>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</si>
  <si>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</si>
  <si>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</si>
  <si>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</si>
  <si>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</si>
  <si>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</si>
  <si>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</si>
  <si>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</si>
  <si>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</si>
  <si>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</si>
  <si>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</si>
  <si>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</si>
  <si>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</si>
  <si>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</si>
  <si>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</si>
  <si>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</si>
  <si>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</si>
  <si>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</si>
  <si>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</si>
  <si>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</si>
  <si>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</si>
  <si>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</si>
  <si>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</si>
  <si>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</si>
  <si>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</si>
  <si>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</si>
  <si>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</si>
  <si>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</si>
  <si>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</si>
  <si>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</si>
  <si>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</si>
  <si>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</si>
  <si>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</si>
  <si>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</si>
  <si>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</si>
  <si>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</si>
  <si>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</si>
  <si>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</si>
  <si>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</si>
  <si>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</si>
  <si>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</si>
  <si>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</si>
  <si>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</si>
  <si>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</si>
  <si>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</si>
  <si>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</si>
  <si>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</si>
  <si>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</si>
  <si>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</si>
  <si>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</si>
  <si>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</si>
  <si>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</si>
  <si>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</si>
  <si>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</si>
  <si>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</si>
  <si>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</si>
  <si>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</si>
  <si>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</si>
  <si>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</si>
  <si>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</si>
  <si>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</si>
  <si>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</si>
  <si>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</si>
  <si>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</si>
  <si>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</si>
  <si>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</si>
  <si>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</si>
  <si>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</si>
  <si>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</si>
  <si>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</si>
  <si>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</si>
  <si>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</si>
  <si>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</si>
  <si>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</si>
  <si>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</si>
  <si>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</si>
  <si>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</si>
  <si>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</si>
  <si>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</si>
  <si>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</si>
  <si>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</si>
  <si>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</si>
  <si>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</si>
  <si>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</si>
  <si>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</si>
  <si>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</si>
  <si>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</si>
  <si>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</si>
  <si>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</si>
  <si>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</si>
  <si>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</si>
  <si>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</si>
  <si>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</si>
  <si>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</si>
  <si>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</si>
  <si>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</si>
  <si>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</si>
  <si>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</si>
  <si>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</si>
  <si>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</si>
  <si>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</si>
  <si>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</si>
  <si>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</si>
  <si>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</si>
  <si>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</si>
  <si>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</si>
  <si>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</si>
  <si>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</si>
  <si>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</si>
  <si>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</si>
  <si>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</si>
  <si>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</si>
  <si>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</si>
  <si>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</si>
  <si>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</si>
  <si>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</si>
  <si>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</si>
  <si>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</si>
  <si>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</si>
  <si>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</si>
  <si>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</si>
  <si>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</si>
  <si>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</si>
  <si>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</si>
  <si>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</si>
  <si>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</si>
  <si>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</si>
  <si>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</si>
  <si>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</si>
  <si>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</si>
  <si>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</si>
  <si>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</si>
  <si>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</si>
  <si>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</si>
  <si>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</si>
  <si>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</si>
  <si>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</si>
  <si>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</si>
  <si>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</si>
  <si>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</si>
  <si>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</si>
  <si>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</si>
  <si>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</si>
  <si>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</si>
  <si>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</si>
  <si>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</si>
  <si>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</si>
  <si>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</si>
  <si>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</si>
  <si>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</si>
  <si>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</si>
  <si>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</si>
  <si>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</si>
  <si>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</si>
  <si>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</si>
  <si>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</si>
  <si>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</si>
  <si>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</si>
  <si>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</si>
  <si>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</si>
  <si>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</si>
  <si>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</si>
  <si>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</si>
  <si>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</si>
  <si>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</si>
  <si>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</si>
  <si>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</si>
  <si>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</si>
  <si>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</si>
  <si>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</si>
  <si>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</si>
  <si>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</si>
  <si>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</si>
  <si>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</si>
  <si>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</si>
  <si>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</si>
  <si>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</si>
  <si>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</si>
  <si>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</si>
  <si>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</si>
  <si>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</si>
  <si>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</si>
  <si>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</si>
  <si>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</si>
  <si>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</si>
  <si>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</si>
  <si>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</si>
  <si>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</si>
  <si>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</si>
  <si>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</si>
  <si>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</si>
  <si>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</si>
  <si>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</si>
  <si>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</si>
  <si>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</si>
  <si>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</si>
  <si>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</si>
  <si>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</si>
  <si>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</si>
  <si>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</si>
  <si>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</si>
  <si>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</si>
  <si>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</si>
  <si>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</si>
  <si>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</si>
  <si>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</si>
  <si>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</si>
  <si>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</si>
  <si>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</si>
  <si>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</si>
  <si>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</si>
  <si>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</si>
  <si>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</si>
  <si>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</si>
  <si>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</si>
  <si>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</si>
  <si>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</si>
  <si>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</si>
  <si>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</si>
  <si>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</si>
  <si>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</si>
  <si>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</si>
  <si>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</si>
  <si>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</si>
  <si>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</si>
  <si>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</si>
  <si>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</si>
  <si>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</si>
  <si>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</si>
  <si>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</si>
  <si>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</si>
  <si>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</si>
  <si>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</si>
  <si>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</si>
  <si>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</si>
  <si>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</si>
  <si>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</si>
  <si>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</si>
  <si>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</si>
  <si>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</si>
  <si>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</si>
  <si>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</si>
  <si>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</si>
  <si>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</si>
  <si>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</si>
  <si>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</si>
  <si>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</si>
  <si>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</si>
  <si>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</si>
  <si>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0.272</t>
  </si>
  <si>
    <t>0.266</t>
  </si>
  <si>
    <t>0.148</t>
  </si>
  <si>
    <t>2.65</t>
  </si>
  <si>
    <t>0.000476</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</si>
  <si>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</si>
  <si>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</si>
  <si>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</si>
  <si>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</si>
  <si>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</si>
  <si>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</si>
  <si>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</si>
  <si>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</si>
  <si>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</si>
  <si>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</si>
  <si>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</si>
  <si>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</si>
  <si>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1.24</t>
  </si>
  <si>
    <t>0.00000230</t>
  </si>
  <si>
    <t>0.650</t>
  </si>
  <si>
    <t>0.274</t>
  </si>
  <si>
    <t>0.267</t>
  </si>
  <si>
    <t>0.0917</t>
  </si>
  <si>
    <t>0.269</t>
  </si>
  <si>
    <t>0.213</t>
  </si>
  <si>
    <t>0.0985</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</si>
  <si>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</si>
  <si>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</si>
  <si>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</si>
  <si>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</si>
  <si>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</si>
  <si>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</si>
  <si>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</si>
  <si>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</si>
  <si>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</si>
  <si>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</si>
  <si>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</si>
  <si>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</si>
  <si>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</si>
  <si>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</si>
  <si>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</si>
  <si>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</si>
  <si>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</si>
  <si>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</si>
  <si>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</si>
  <si>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</si>
  <si>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</si>
  <si>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</si>
  <si>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</si>
  <si>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</si>
  <si>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</si>
  <si>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</si>
  <si>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</si>
  <si>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</si>
  <si>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</si>
  <si>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</si>
  <si>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</si>
  <si>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</si>
  <si>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</si>
  <si>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</si>
  <si>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</si>
  <si>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</si>
  <si>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</si>
  <si>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</si>
  <si>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</si>
  <si>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</si>
  <si>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</si>
  <si>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</si>
  <si>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</si>
  <si>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</si>
  <si>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</si>
  <si>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</si>
  <si>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</si>
  <si>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</si>
  <si>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</si>
  <si>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</si>
  <si>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</si>
  <si>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</si>
  <si>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</si>
  <si>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</si>
  <si>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</si>
  <si>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</si>
  <si>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</si>
  <si>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</si>
  <si>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</si>
  <si>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</si>
  <si>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</si>
  <si>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</si>
  <si>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</si>
  <si>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</si>
  <si>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</si>
  <si>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</si>
  <si>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</si>
  <si>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</si>
  <si>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</si>
  <si>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</si>
  <si>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</si>
  <si>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</si>
  <si>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</si>
  <si>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</si>
  <si>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</si>
  <si>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</si>
  <si>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</si>
  <si>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</si>
  <si>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</si>
  <si>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</si>
  <si>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</si>
  <si>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</si>
  <si>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</si>
  <si>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</si>
  <si>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</si>
  <si>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</si>
  <si>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</si>
  <si>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</si>
  <si>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</si>
  <si>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</si>
  <si>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</si>
  <si>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</si>
  <si>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</si>
  <si>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</si>
  <si>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</si>
  <si>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</si>
  <si>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</si>
  <si>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</si>
  <si>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</si>
  <si>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</si>
  <si>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</si>
  <si>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</si>
  <si>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</si>
  <si>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</si>
  <si>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</si>
  <si>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</si>
  <si>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</si>
  <si>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</si>
  <si>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</si>
  <si>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</si>
  <si>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</si>
  <si>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</si>
  <si>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</si>
  <si>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</si>
  <si>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</si>
  <si>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</si>
  <si>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</si>
  <si>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</si>
  <si>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</si>
  <si>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</si>
  <si>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</si>
  <si>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</si>
  <si>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</si>
  <si>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</si>
  <si>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</si>
  <si>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</si>
  <si>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</si>
  <si>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</si>
  <si>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</si>
  <si>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</si>
  <si>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</si>
  <si>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</si>
  <si>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</si>
  <si>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</si>
  <si>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</si>
  <si>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</si>
  <si>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</si>
  <si>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</si>
  <si>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</si>
  <si>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</si>
  <si>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</si>
  <si>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</si>
  <si>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</si>
  <si>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</si>
  <si>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</si>
  <si>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</si>
  <si>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</si>
  <si>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</si>
  <si>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</si>
  <si>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</si>
  <si>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</si>
  <si>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</si>
  <si>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</si>
  <si>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</si>
  <si>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</si>
  <si>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</si>
  <si>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</si>
  <si>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14.ひとり親の選択は、11で「いいえ」を選択した場合のみ選択が必要です。</t>
    <rPh sb="6" eb="7">
      <t>オヤ</t>
    </rPh>
    <rPh sb="8" eb="10">
      <t>センタク</t>
    </rPh>
    <rPh sb="29" eb="31">
      <t>センタク</t>
    </rPh>
    <rPh sb="32" eb="34">
      <t>ヒツヨウ</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</si>
  <si>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</si>
  <si>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</si>
  <si>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</si>
  <si>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</si>
  <si>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</si>
  <si>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</si>
  <si>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</si>
  <si>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</si>
  <si>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</si>
  <si>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</si>
  <si>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</si>
  <si>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</si>
  <si>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</si>
  <si>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</si>
  <si>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</si>
  <si>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</si>
  <si>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</si>
  <si>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</si>
  <si>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</si>
  <si>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</si>
  <si>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</si>
  <si>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</si>
  <si>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</si>
  <si>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</si>
  <si>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</si>
  <si>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</si>
  <si>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</si>
  <si>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</si>
  <si>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</si>
  <si>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</si>
  <si>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</si>
  <si>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</si>
  <si>
    <t>19～22歳の特定親族の数</t>
    <rPh sb="5" eb="6">
      <t>サイ</t>
    </rPh>
    <rPh sb="7" eb="9">
      <t>トクテイ</t>
    </rPh>
    <rPh sb="9" eb="11">
      <t>シンゾク</t>
    </rPh>
    <rPh sb="12" eb="13">
      <t>カズ</t>
    </rPh>
    <phoneticPr fontId="1"/>
  </si>
  <si>
    <t>32</t>
  </si>
  <si>
    <t>33</t>
  </si>
  <si>
    <t>34</t>
  </si>
  <si>
    <t>35</t>
  </si>
  <si>
    <t>36</t>
  </si>
  <si>
    <t>37</t>
  </si>
  <si>
    <t>38</t>
  </si>
  <si>
    <t>39</t>
  </si>
  <si>
    <t>40</t>
  </si>
  <si>
    <t>41</t>
  </si>
  <si>
    <t>42</t>
  </si>
  <si>
    <t>43</t>
  </si>
  <si>
    <t>44</t>
  </si>
  <si>
    <t>45</t>
  </si>
  <si>
    <t>46</t>
  </si>
  <si>
    <t>48</t>
    <phoneticPr fontId="2"/>
  </si>
  <si>
    <t>海外居住者のための収入等申告書（別紙）</t>
    <rPh sb="0" eb="2">
      <t>カイガイ</t>
    </rPh>
    <rPh sb="2" eb="5">
      <t>キョジュウシャ</t>
    </rPh>
    <rPh sb="9" eb="11">
      <t>シュウニュウ</t>
    </rPh>
    <rPh sb="11" eb="12">
      <t>トウ</t>
    </rPh>
    <rPh sb="12" eb="14">
      <t>シンコク</t>
    </rPh>
    <rPh sb="14" eb="15">
      <t>ショ</t>
    </rPh>
    <rPh sb="16" eb="18">
      <t>ベッシ</t>
    </rPh>
    <phoneticPr fontId="2"/>
  </si>
  <si>
    <t>給与以外の所得の通貨</t>
    <rPh sb="0" eb="2">
      <t>キュウヨ</t>
    </rPh>
    <rPh sb="2" eb="4">
      <t>イガイ</t>
    </rPh>
    <rPh sb="5" eb="7">
      <t>ショトク</t>
    </rPh>
    <rPh sb="8" eb="10">
      <t>ツウカ</t>
    </rPh>
    <phoneticPr fontId="2"/>
  </si>
  <si>
    <t>　給与以外の所得の金額</t>
    <rPh sb="1" eb="3">
      <t>キュウヨ</t>
    </rPh>
    <rPh sb="3" eb="5">
      <t>イガイ</t>
    </rPh>
    <rPh sb="6" eb="8">
      <t>ショトク</t>
    </rPh>
    <rPh sb="9" eb="11">
      <t>キンガク</t>
    </rPh>
    <phoneticPr fontId="2"/>
  </si>
  <si>
    <t>生計維持者1</t>
    <rPh sb="0" eb="5">
      <t>セイケイイジシャ</t>
    </rPh>
    <phoneticPr fontId="2"/>
  </si>
  <si>
    <t>特定親族1</t>
    <rPh sb="0" eb="4">
      <t>トクテイシンゾク</t>
    </rPh>
    <phoneticPr fontId="2"/>
  </si>
  <si>
    <t>特定親族2</t>
    <rPh sb="0" eb="4">
      <t>トクテイシンゾク</t>
    </rPh>
    <phoneticPr fontId="2"/>
  </si>
  <si>
    <t>特定親族3</t>
    <rPh sb="0" eb="4">
      <t>トクテイシンゾク</t>
    </rPh>
    <phoneticPr fontId="2"/>
  </si>
  <si>
    <t>特定親族4</t>
    <rPh sb="0" eb="4">
      <t>トクテイシンゾク</t>
    </rPh>
    <phoneticPr fontId="2"/>
  </si>
  <si>
    <t>特定親族5</t>
    <rPh sb="0" eb="4">
      <t>トクテイシンゾク</t>
    </rPh>
    <phoneticPr fontId="2"/>
  </si>
  <si>
    <t>特定親族6</t>
    <rPh sb="0" eb="4">
      <t>トクテイシンゾク</t>
    </rPh>
    <phoneticPr fontId="2"/>
  </si>
  <si>
    <t>特定親族7</t>
    <rPh sb="0" eb="4">
      <t>トクテイシンゾク</t>
    </rPh>
    <phoneticPr fontId="2"/>
  </si>
  <si>
    <t>特定親族8</t>
    <rPh sb="0" eb="4">
      <t>トクテイシンゾク</t>
    </rPh>
    <phoneticPr fontId="2"/>
  </si>
  <si>
    <t>特定親族9</t>
    <rPh sb="0" eb="4">
      <t>トクテイシンゾク</t>
    </rPh>
    <phoneticPr fontId="2"/>
  </si>
  <si>
    <t>生計維持者2</t>
    <rPh sb="0" eb="5">
      <t>セイケイイジシャ</t>
    </rPh>
    <phoneticPr fontId="2"/>
  </si>
  <si>
    <t>多子こどもフラグ</t>
    <rPh sb="0" eb="2">
      <t>タシ</t>
    </rPh>
    <phoneticPr fontId="2"/>
  </si>
  <si>
    <t>控除額</t>
    <rPh sb="0" eb="2">
      <t>コウジョ</t>
    </rPh>
    <rPh sb="2" eb="3">
      <t>ガク</t>
    </rPh>
    <phoneticPr fontId="2"/>
  </si>
  <si>
    <t>存在フラグ</t>
    <rPh sb="0" eb="2">
      <t>ソンザイ</t>
    </rPh>
    <phoneticPr fontId="2"/>
  </si>
  <si>
    <t>実は扶養親族フラグ</t>
    <rPh sb="0" eb="1">
      <t>ジツ</t>
    </rPh>
    <rPh sb="2" eb="4">
      <t>フヨウ</t>
    </rPh>
    <rPh sb="4" eb="6">
      <t>シンゾク</t>
    </rPh>
    <phoneticPr fontId="2"/>
  </si>
  <si>
    <t>扶養親族のための所得区分(R8.10～)</t>
    <rPh sb="0" eb="2">
      <t>フヨウ</t>
    </rPh>
    <rPh sb="2" eb="4">
      <t>シンゾク</t>
    </rPh>
    <rPh sb="8" eb="10">
      <t>ショトク</t>
    </rPh>
    <rPh sb="10" eb="12">
      <t>クブン</t>
    </rPh>
    <phoneticPr fontId="2"/>
  </si>
  <si>
    <t>合計控除額</t>
    <rPh sb="0" eb="2">
      <t>ゴウケイ</t>
    </rPh>
    <rPh sb="2" eb="4">
      <t>コウジョ</t>
    </rPh>
    <rPh sb="4" eb="5">
      <t>ガク</t>
    </rPh>
    <phoneticPr fontId="2"/>
  </si>
  <si>
    <t>報告省令レート（令和8年1月分）</t>
    <phoneticPr fontId="4"/>
  </si>
  <si>
    <t>[令和8年1月中において適用]</t>
    <phoneticPr fontId="4"/>
  </si>
  <si>
    <t>0.711</t>
  </si>
  <si>
    <t>0.141</t>
  </si>
  <si>
    <t>0.105</t>
  </si>
  <si>
    <t>1.31</t>
  </si>
  <si>
    <t>1.16</t>
  </si>
  <si>
    <t>0.000700</t>
  </si>
  <si>
    <t>0.307</t>
  </si>
  <si>
    <t>0.0113</t>
  </si>
  <si>
    <t>0.00599</t>
  </si>
  <si>
    <t>0.0685</t>
  </si>
  <si>
    <t>0.0249</t>
  </si>
  <si>
    <t>3.26</t>
  </si>
  <si>
    <t>0.00773</t>
  </si>
  <si>
    <t>0.0265</t>
  </si>
  <si>
    <t>0.768</t>
  </si>
  <si>
    <t>3.21</t>
  </si>
  <si>
    <t>0.327</t>
  </si>
  <si>
    <t>0.0706</t>
  </si>
  <si>
    <t>0.969</t>
  </si>
  <si>
    <t>0.0477</t>
  </si>
  <si>
    <t>0.107</t>
  </si>
  <si>
    <t>0.155</t>
  </si>
  <si>
    <t>0.0237</t>
  </si>
  <si>
    <t>0.000692</t>
  </si>
  <si>
    <t>0.565</t>
  </si>
  <si>
    <t>0.00355</t>
  </si>
  <si>
    <t>0.818</t>
  </si>
  <si>
    <t>0.236</t>
  </si>
  <si>
    <t>0.301</t>
  </si>
  <si>
    <t>0.819</t>
  </si>
  <si>
    <t>0.436</t>
  </si>
  <si>
    <t>0.187</t>
  </si>
  <si>
    <t>0.00380</t>
  </si>
  <si>
    <t>0.00434</t>
  </si>
  <si>
    <t>0.297</t>
  </si>
  <si>
    <t>0.273</t>
  </si>
  <si>
    <t>0.241</t>
  </si>
  <si>
    <t>0.0580</t>
  </si>
  <si>
    <t>0.0543</t>
  </si>
  <si>
    <t>0.0217</t>
  </si>
  <si>
    <t>0.108</t>
  </si>
  <si>
    <t>0.00461</t>
  </si>
  <si>
    <t>0.227</t>
  </si>
  <si>
    <t>0.0690</t>
  </si>
  <si>
    <t>0.0125</t>
  </si>
  <si>
    <t>（令和7年11月中における実勢相場の平均値）</t>
    <phoneticPr fontId="4"/>
  </si>
  <si>
    <t>年金以外の合計所得金額基準１</t>
    <rPh sb="0" eb="2">
      <t>ネンキン</t>
    </rPh>
    <rPh sb="2" eb="4">
      <t>イガイ</t>
    </rPh>
    <rPh sb="5" eb="7">
      <t>ゴウケイ</t>
    </rPh>
    <rPh sb="7" eb="9">
      <t>ショトク</t>
    </rPh>
    <rPh sb="9" eb="11">
      <t>キンガク</t>
    </rPh>
    <rPh sb="11" eb="13">
      <t>キジュン</t>
    </rPh>
    <phoneticPr fontId="2"/>
  </si>
  <si>
    <t>年金以外の合計所得金額基準２</t>
    <rPh sb="0" eb="2">
      <t>ネンキン</t>
    </rPh>
    <rPh sb="2" eb="4">
      <t>イガイ</t>
    </rPh>
    <rPh sb="5" eb="7">
      <t>ゴウケイ</t>
    </rPh>
    <rPh sb="7" eb="9">
      <t>ショトク</t>
    </rPh>
    <rPh sb="9" eb="11">
      <t>キンガク</t>
    </rPh>
    <rPh sb="11" eb="13">
      <t>キジュン</t>
    </rPh>
    <phoneticPr fontId="2"/>
  </si>
  <si>
    <t>年金以外の合計所得金額に基づく一律控除見直し１</t>
    <rPh sb="0" eb="2">
      <t>ネンキン</t>
    </rPh>
    <rPh sb="2" eb="4">
      <t>イガイ</t>
    </rPh>
    <rPh sb="5" eb="7">
      <t>ゴウケイ</t>
    </rPh>
    <rPh sb="7" eb="9">
      <t>ショトク</t>
    </rPh>
    <rPh sb="9" eb="11">
      <t>キンガク</t>
    </rPh>
    <rPh sb="12" eb="13">
      <t>モト</t>
    </rPh>
    <rPh sb="15" eb="17">
      <t>イチリツ</t>
    </rPh>
    <rPh sb="17" eb="19">
      <t>コウジョ</t>
    </rPh>
    <rPh sb="19" eb="21">
      <t>ミナオ</t>
    </rPh>
    <phoneticPr fontId="2"/>
  </si>
  <si>
    <t>年金以外の合計所得金額に基づく一律控除見直し２</t>
    <rPh sb="0" eb="2">
      <t>ネンキン</t>
    </rPh>
    <rPh sb="2" eb="4">
      <t>イガイ</t>
    </rPh>
    <rPh sb="5" eb="7">
      <t>ゴウケイ</t>
    </rPh>
    <rPh sb="7" eb="9">
      <t>ショトク</t>
    </rPh>
    <rPh sb="9" eb="11">
      <t>キンガク</t>
    </rPh>
    <rPh sb="12" eb="13">
      <t>モト</t>
    </rPh>
    <rPh sb="15" eb="17">
      <t>イチリツ</t>
    </rPh>
    <rPh sb="17" eb="19">
      <t>コウジョ</t>
    </rPh>
    <rPh sb="19" eb="21">
      <t>ミナオ</t>
    </rPh>
    <phoneticPr fontId="2"/>
  </si>
  <si>
    <t>65歳以上の年金所得額計算1</t>
    <rPh sb="2" eb="3">
      <t>サイ</t>
    </rPh>
    <rPh sb="3" eb="5">
      <t>イジョウ</t>
    </rPh>
    <rPh sb="6" eb="8">
      <t>ネンキン</t>
    </rPh>
    <rPh sb="8" eb="10">
      <t>ショトク</t>
    </rPh>
    <rPh sb="10" eb="11">
      <t>ガク</t>
    </rPh>
    <rPh sb="11" eb="13">
      <t>ケイサン</t>
    </rPh>
    <phoneticPr fontId="2"/>
  </si>
  <si>
    <t>65歳以上の年金所得額計算2</t>
    <rPh sb="2" eb="3">
      <t>サイ</t>
    </rPh>
    <rPh sb="3" eb="5">
      <t>イジョウ</t>
    </rPh>
    <rPh sb="6" eb="8">
      <t>ネンキン</t>
    </rPh>
    <rPh sb="8" eb="10">
      <t>ショトク</t>
    </rPh>
    <rPh sb="10" eb="11">
      <t>ガク</t>
    </rPh>
    <phoneticPr fontId="2"/>
  </si>
  <si>
    <t>65歳以上の年金所得額計算3</t>
    <rPh sb="2" eb="3">
      <t>サイ</t>
    </rPh>
    <rPh sb="3" eb="5">
      <t>イジョウ</t>
    </rPh>
    <rPh sb="6" eb="8">
      <t>ネンキン</t>
    </rPh>
    <rPh sb="8" eb="10">
      <t>ショトク</t>
    </rPh>
    <rPh sb="10" eb="11">
      <t>ガク</t>
    </rPh>
    <phoneticPr fontId="2"/>
  </si>
  <si>
    <t>65歳以上の年金所得額計算4</t>
    <rPh sb="2" eb="3">
      <t>サイ</t>
    </rPh>
    <rPh sb="3" eb="5">
      <t>イジョウ</t>
    </rPh>
    <rPh sb="6" eb="8">
      <t>ネンキン</t>
    </rPh>
    <rPh sb="8" eb="10">
      <t>ショトク</t>
    </rPh>
    <rPh sb="10" eb="11">
      <t>ガク</t>
    </rPh>
    <phoneticPr fontId="2"/>
  </si>
  <si>
    <t>65歳以上の年金所得額計算5(平成33年度より使用)</t>
    <rPh sb="2" eb="3">
      <t>サイ</t>
    </rPh>
    <rPh sb="3" eb="5">
      <t>イジョウ</t>
    </rPh>
    <rPh sb="6" eb="8">
      <t>ネンキン</t>
    </rPh>
    <rPh sb="8" eb="10">
      <t>ショトク</t>
    </rPh>
    <rPh sb="10" eb="11">
      <t>ガク</t>
    </rPh>
    <phoneticPr fontId="2"/>
  </si>
  <si>
    <t>65歳未満の年金所得額計算1</t>
    <rPh sb="2" eb="3">
      <t>サイ</t>
    </rPh>
    <rPh sb="3" eb="5">
      <t>ミマン</t>
    </rPh>
    <rPh sb="6" eb="8">
      <t>ネンキン</t>
    </rPh>
    <rPh sb="8" eb="10">
      <t>ショトク</t>
    </rPh>
    <rPh sb="10" eb="11">
      <t>ガク</t>
    </rPh>
    <rPh sb="11" eb="13">
      <t>ケイサン</t>
    </rPh>
    <phoneticPr fontId="2"/>
  </si>
  <si>
    <t>65歳未満の年金所得額計算2</t>
    <rPh sb="2" eb="3">
      <t>サイ</t>
    </rPh>
    <rPh sb="6" eb="8">
      <t>ネンキン</t>
    </rPh>
    <rPh sb="8" eb="10">
      <t>ショトク</t>
    </rPh>
    <rPh sb="10" eb="11">
      <t>ガク</t>
    </rPh>
    <phoneticPr fontId="2"/>
  </si>
  <si>
    <t>65歳未満の年金所得額計算3</t>
    <rPh sb="2" eb="3">
      <t>サイ</t>
    </rPh>
    <rPh sb="6" eb="8">
      <t>ネンキン</t>
    </rPh>
    <rPh sb="8" eb="10">
      <t>ショトク</t>
    </rPh>
    <rPh sb="10" eb="11">
      <t>ガク</t>
    </rPh>
    <phoneticPr fontId="2"/>
  </si>
  <si>
    <t>65歳未満の年金所得額計算4</t>
    <rPh sb="2" eb="3">
      <t>サイ</t>
    </rPh>
    <rPh sb="6" eb="8">
      <t>ネンキン</t>
    </rPh>
    <rPh sb="8" eb="10">
      <t>ショトク</t>
    </rPh>
    <rPh sb="10" eb="11">
      <t>ガク</t>
    </rPh>
    <phoneticPr fontId="2"/>
  </si>
  <si>
    <t>65歳未満の年金所得額計算5(平成33年度より使用)</t>
    <rPh sb="2" eb="3">
      <t>サイ</t>
    </rPh>
    <rPh sb="6" eb="8">
      <t>ネンキン</t>
    </rPh>
    <rPh sb="8" eb="10">
      <t>ショトク</t>
    </rPh>
    <rPh sb="10" eb="11">
      <t>ガク</t>
    </rPh>
    <phoneticPr fontId="2"/>
  </si>
  <si>
    <t>65歳以上の年金所得額計算倍率2</t>
    <rPh sb="2" eb="3">
      <t>サイ</t>
    </rPh>
    <rPh sb="3" eb="5">
      <t>イジョウ</t>
    </rPh>
    <rPh sb="6" eb="8">
      <t>ネンキン</t>
    </rPh>
    <rPh sb="8" eb="10">
      <t>ショトク</t>
    </rPh>
    <rPh sb="10" eb="11">
      <t>ガク</t>
    </rPh>
    <rPh sb="11" eb="13">
      <t>ケイサン</t>
    </rPh>
    <rPh sb="13" eb="15">
      <t>バイリツ</t>
    </rPh>
    <phoneticPr fontId="2"/>
  </si>
  <si>
    <t>65歳以上の年金所得額計算倍率3</t>
    <rPh sb="2" eb="3">
      <t>サイ</t>
    </rPh>
    <rPh sb="3" eb="5">
      <t>イジョウ</t>
    </rPh>
    <rPh sb="6" eb="8">
      <t>ネンキン</t>
    </rPh>
    <rPh sb="8" eb="10">
      <t>ショトク</t>
    </rPh>
    <rPh sb="10" eb="11">
      <t>ガク</t>
    </rPh>
    <phoneticPr fontId="2"/>
  </si>
  <si>
    <t>65歳以上の年金所得額計算倍率4</t>
    <rPh sb="2" eb="3">
      <t>サイ</t>
    </rPh>
    <rPh sb="3" eb="5">
      <t>イジョウ</t>
    </rPh>
    <rPh sb="6" eb="8">
      <t>ネンキン</t>
    </rPh>
    <rPh sb="8" eb="10">
      <t>ショトク</t>
    </rPh>
    <rPh sb="10" eb="11">
      <t>ガク</t>
    </rPh>
    <phoneticPr fontId="2"/>
  </si>
  <si>
    <t>65歳未満の年金所得額計算倍率2</t>
    <rPh sb="2" eb="3">
      <t>サイ</t>
    </rPh>
    <rPh sb="6" eb="8">
      <t>ネンキン</t>
    </rPh>
    <rPh sb="8" eb="10">
      <t>ショトク</t>
    </rPh>
    <rPh sb="10" eb="11">
      <t>ガク</t>
    </rPh>
    <phoneticPr fontId="2"/>
  </si>
  <si>
    <t>65歳未満の年金所得額計算倍率3</t>
    <rPh sb="2" eb="3">
      <t>サイ</t>
    </rPh>
    <rPh sb="6" eb="8">
      <t>ネンキン</t>
    </rPh>
    <rPh sb="8" eb="10">
      <t>ショトク</t>
    </rPh>
    <rPh sb="10" eb="11">
      <t>ガク</t>
    </rPh>
    <phoneticPr fontId="2"/>
  </si>
  <si>
    <t>65歳未満の年金所得額計算倍率4</t>
    <rPh sb="2" eb="3">
      <t>サイ</t>
    </rPh>
    <rPh sb="6" eb="8">
      <t>ネンキン</t>
    </rPh>
    <rPh sb="8" eb="10">
      <t>ショトク</t>
    </rPh>
    <rPh sb="10" eb="11">
      <t>ガク</t>
    </rPh>
    <phoneticPr fontId="2"/>
  </si>
  <si>
    <t>給与所得控除のための給与収入区分(R8.10～)</t>
    <rPh sb="0" eb="2">
      <t>キュウヨ</t>
    </rPh>
    <rPh sb="2" eb="4">
      <t>ショトク</t>
    </rPh>
    <rPh sb="4" eb="6">
      <t>コウジョ</t>
    </rPh>
    <rPh sb="10" eb="12">
      <t>キュウヨ</t>
    </rPh>
    <rPh sb="12" eb="14">
      <t>シュウニュウ</t>
    </rPh>
    <rPh sb="14" eb="16">
      <t>クブン</t>
    </rPh>
    <phoneticPr fontId="2"/>
  </si>
  <si>
    <t>1900000未満の給与所得金額計算(R8.10～)</t>
    <rPh sb="7" eb="9">
      <t>ミマン</t>
    </rPh>
    <rPh sb="10" eb="12">
      <t>キュウヨ</t>
    </rPh>
    <rPh sb="12" eb="14">
      <t>ショトク</t>
    </rPh>
    <rPh sb="14" eb="16">
      <t>キンガク</t>
    </rPh>
    <rPh sb="16" eb="18">
      <t>ケイサン</t>
    </rPh>
    <phoneticPr fontId="2"/>
  </si>
  <si>
    <t>特定扶養親族に加算</t>
    <rPh sb="0" eb="2">
      <t>トクテイ</t>
    </rPh>
    <rPh sb="2" eb="4">
      <t>フヨウ</t>
    </rPh>
    <rPh sb="4" eb="6">
      <t>シンゾク</t>
    </rPh>
    <rPh sb="7" eb="9">
      <t>カサン</t>
    </rPh>
    <phoneticPr fontId="2"/>
  </si>
  <si>
    <t>特定親族の「子供」</t>
    <rPh sb="0" eb="2">
      <t>トクテイ</t>
    </rPh>
    <rPh sb="2" eb="4">
      <t>シンゾク</t>
    </rPh>
    <rPh sb="6" eb="8">
      <t>コドモ</t>
    </rPh>
    <phoneticPr fontId="2"/>
  </si>
  <si>
    <t>本人</t>
    <rPh sb="0" eb="2">
      <t>ホンニン</t>
    </rPh>
    <phoneticPr fontId="2"/>
  </si>
  <si>
    <t>特定親族フラグ</t>
    <rPh sb="0" eb="2">
      <t>トクテイ</t>
    </rPh>
    <rPh sb="2" eb="4">
      <t>シンゾク</t>
    </rPh>
    <phoneticPr fontId="2"/>
  </si>
  <si>
    <t>特定親族特別控除</t>
    <rPh sb="0" eb="2">
      <t>トクテイ</t>
    </rPh>
    <rPh sb="2" eb="8">
      <t>シンゾクトクベツコウジョ</t>
    </rPh>
    <phoneticPr fontId="2"/>
  </si>
  <si>
    <t>早生まれ特定親族</t>
    <rPh sb="0" eb="2">
      <t>ハヤウ</t>
    </rPh>
    <rPh sb="4" eb="6">
      <t>トクテイ</t>
    </rPh>
    <rPh sb="6" eb="8">
      <t>シンゾク</t>
    </rPh>
    <phoneticPr fontId="2"/>
  </si>
  <si>
    <t>早生まれ特特控除額</t>
    <rPh sb="0" eb="2">
      <t>ハヤウ</t>
    </rPh>
    <rPh sb="4" eb="5">
      <t>トク</t>
    </rPh>
    <rPh sb="5" eb="6">
      <t>トク</t>
    </rPh>
    <rPh sb="6" eb="8">
      <t>コウジョ</t>
    </rPh>
    <rPh sb="8" eb="9">
      <t>ガク</t>
    </rPh>
    <phoneticPr fontId="2"/>
  </si>
  <si>
    <t>計算上の扶養者</t>
    <rPh sb="0" eb="2">
      <t>ケイサン</t>
    </rPh>
    <rPh sb="2" eb="3">
      <t>ジョウ</t>
    </rPh>
    <rPh sb="4" eb="7">
      <t>フヨウシャ</t>
    </rPh>
    <phoneticPr fontId="2"/>
  </si>
  <si>
    <t>本人分特定親族特別控除(含早生まれ)</t>
    <rPh sb="0" eb="3">
      <t>ホンニンブン</t>
    </rPh>
    <rPh sb="3" eb="7">
      <t>トクテイシンゾク</t>
    </rPh>
    <rPh sb="7" eb="9">
      <t>トクベツ</t>
    </rPh>
    <rPh sb="9" eb="11">
      <t>コウジョ</t>
    </rPh>
    <rPh sb="12" eb="13">
      <t>フク</t>
    </rPh>
    <rPh sb="13" eb="15">
      <t>ハヤウ</t>
    </rPh>
    <phoneticPr fontId="2"/>
  </si>
  <si>
    <t>★今回の税制改正は年収190万円以下にしか関係ないため、税制改正フラグ(C51)が1かつ年収190万円以下の場合と、それ以外の場合で分岐させている</t>
    <rPh sb="1" eb="3">
      <t>コンカイ</t>
    </rPh>
    <rPh sb="4" eb="8">
      <t>ゼイセイカイセイ</t>
    </rPh>
    <rPh sb="9" eb="11">
      <t>ネンシュウ</t>
    </rPh>
    <rPh sb="14" eb="16">
      <t>マンエン</t>
    </rPh>
    <rPh sb="16" eb="18">
      <t>イカ</t>
    </rPh>
    <rPh sb="21" eb="23">
      <t>カンケイ</t>
    </rPh>
    <rPh sb="28" eb="30">
      <t>ゼイセイ</t>
    </rPh>
    <rPh sb="30" eb="32">
      <t>カイセイ</t>
    </rPh>
    <rPh sb="44" eb="46">
      <t>ネンシュウ</t>
    </rPh>
    <rPh sb="49" eb="51">
      <t>マンエン</t>
    </rPh>
    <rPh sb="51" eb="53">
      <t>イカ</t>
    </rPh>
    <rPh sb="54" eb="56">
      <t>バアイ</t>
    </rPh>
    <rPh sb="60" eb="62">
      <t>イガイ</t>
    </rPh>
    <rPh sb="63" eb="65">
      <t>バアイ</t>
    </rPh>
    <rPh sb="66" eb="68">
      <t>ブンキ</t>
    </rPh>
    <phoneticPr fontId="2"/>
  </si>
  <si>
    <t>今回の税制改正で変更は無いが、税制改正フラグ(C51)の意味を変えたことで以前の式(もっと昔の税制改正で式を変えていた)が成り立たなくなったため、修正</t>
    <rPh sb="0" eb="2">
      <t>コンカイ</t>
    </rPh>
    <rPh sb="3" eb="7">
      <t>ゼイセイカイセイ</t>
    </rPh>
    <rPh sb="8" eb="10">
      <t>ヘンコウ</t>
    </rPh>
    <rPh sb="11" eb="12">
      <t>ナ</t>
    </rPh>
    <rPh sb="28" eb="30">
      <t>イミ</t>
    </rPh>
    <rPh sb="31" eb="32">
      <t>カ</t>
    </rPh>
    <rPh sb="37" eb="39">
      <t>イゼン</t>
    </rPh>
    <rPh sb="40" eb="41">
      <t>シキ</t>
    </rPh>
    <rPh sb="45" eb="46">
      <t>ムカシ</t>
    </rPh>
    <rPh sb="47" eb="49">
      <t>ゼイセイ</t>
    </rPh>
    <rPh sb="49" eb="51">
      <t>カイセイ</t>
    </rPh>
    <rPh sb="52" eb="53">
      <t>シキ</t>
    </rPh>
    <rPh sb="54" eb="55">
      <t>カ</t>
    </rPh>
    <rPh sb="61" eb="62">
      <t>ナ</t>
    </rPh>
    <rPh sb="63" eb="64">
      <t>タ</t>
    </rPh>
    <rPh sb="73" eb="75">
      <t>シュウセイ</t>
    </rPh>
    <phoneticPr fontId="2"/>
  </si>
  <si>
    <t>修正メモ(202602)　　　　★は税制改正に大きく関連する修正(無印はハネ修正的なもの)</t>
    <rPh sb="0" eb="2">
      <t>シュウセイ</t>
    </rPh>
    <rPh sb="18" eb="20">
      <t>ゼイセイ</t>
    </rPh>
    <rPh sb="20" eb="22">
      <t>カイセイ</t>
    </rPh>
    <rPh sb="23" eb="24">
      <t>オオ</t>
    </rPh>
    <rPh sb="26" eb="28">
      <t>カンレン</t>
    </rPh>
    <rPh sb="30" eb="32">
      <t>シュウセイ</t>
    </rPh>
    <rPh sb="33" eb="34">
      <t>ム</t>
    </rPh>
    <rPh sb="34" eb="35">
      <t>ジルシ</t>
    </rPh>
    <rPh sb="38" eb="40">
      <t>シュウセイ</t>
    </rPh>
    <rPh sb="40" eb="41">
      <t>テキ</t>
    </rPh>
    <phoneticPr fontId="2"/>
  </si>
  <si>
    <t>★「特定親族だと思って申告したが、所得を計算したら特定扶養親族だった」というケースを想定し、計算シート2でそのチェックをした結果を足している</t>
    <rPh sb="2" eb="4">
      <t>トクテイ</t>
    </rPh>
    <rPh sb="4" eb="6">
      <t>シンゾク</t>
    </rPh>
    <rPh sb="8" eb="9">
      <t>オモ</t>
    </rPh>
    <rPh sb="11" eb="13">
      <t>シンコク</t>
    </rPh>
    <rPh sb="17" eb="19">
      <t>ショトク</t>
    </rPh>
    <rPh sb="20" eb="22">
      <t>ケイサン</t>
    </rPh>
    <rPh sb="25" eb="27">
      <t>トクテイ</t>
    </rPh>
    <rPh sb="27" eb="29">
      <t>フヨウ</t>
    </rPh>
    <rPh sb="29" eb="31">
      <t>シンゾク</t>
    </rPh>
    <rPh sb="42" eb="44">
      <t>ソウテイ</t>
    </rPh>
    <rPh sb="46" eb="48">
      <t>ケイサン</t>
    </rPh>
    <rPh sb="62" eb="64">
      <t>ケッカ</t>
    </rPh>
    <rPh sb="65" eb="66">
      <t>タ</t>
    </rPh>
    <phoneticPr fontId="2"/>
  </si>
  <si>
    <t>★行追加。計算シート2で計算した特定親族特別控除の合計額(本人分を除く)</t>
    <rPh sb="1" eb="2">
      <t>ギョウ</t>
    </rPh>
    <rPh sb="2" eb="4">
      <t>ツイカ</t>
    </rPh>
    <rPh sb="5" eb="7">
      <t>ケイサン</t>
    </rPh>
    <rPh sb="12" eb="14">
      <t>ケイサン</t>
    </rPh>
    <rPh sb="16" eb="18">
      <t>トクテイ</t>
    </rPh>
    <rPh sb="18" eb="24">
      <t>シンゾクトクベツコウジョ</t>
    </rPh>
    <rPh sb="25" eb="27">
      <t>ゴウケイ</t>
    </rPh>
    <rPh sb="27" eb="28">
      <t>ガク</t>
    </rPh>
    <rPh sb="29" eb="31">
      <t>ホンニン</t>
    </rPh>
    <rPh sb="31" eb="32">
      <t>ブン</t>
    </rPh>
    <rPh sb="33" eb="34">
      <t>ノゾ</t>
    </rPh>
    <phoneticPr fontId="2"/>
  </si>
  <si>
    <t>★計算シート2で検出した「実は特定扶養親族」は非課税限度の計算などにも加える必要があるため、ここで加算</t>
    <rPh sb="1" eb="3">
      <t>ケイサン</t>
    </rPh>
    <rPh sb="8" eb="10">
      <t>ケンシュツ</t>
    </rPh>
    <rPh sb="13" eb="14">
      <t>ジツ</t>
    </rPh>
    <rPh sb="15" eb="17">
      <t>トクテイ</t>
    </rPh>
    <rPh sb="17" eb="19">
      <t>フヨウ</t>
    </rPh>
    <rPh sb="19" eb="21">
      <t>シンゾク</t>
    </rPh>
    <rPh sb="23" eb="26">
      <t>ヒカゼイ</t>
    </rPh>
    <rPh sb="26" eb="28">
      <t>ゲンド</t>
    </rPh>
    <rPh sb="29" eb="31">
      <t>ケイサン</t>
    </rPh>
    <rPh sb="35" eb="36">
      <t>クワ</t>
    </rPh>
    <rPh sb="38" eb="40">
      <t>ヒツヨウ</t>
    </rPh>
    <rPh sb="49" eb="51">
      <t>カサン</t>
    </rPh>
    <phoneticPr fontId="2"/>
  </si>
  <si>
    <t>式は修正していないが、意味合いが変わり、「特定親族早生まれのケースを除く、本人早生まれ控除の額」になった</t>
    <rPh sb="0" eb="1">
      <t>シキ</t>
    </rPh>
    <rPh sb="2" eb="4">
      <t>シュウセイ</t>
    </rPh>
    <rPh sb="11" eb="14">
      <t>イミア</t>
    </rPh>
    <rPh sb="16" eb="17">
      <t>カ</t>
    </rPh>
    <rPh sb="21" eb="25">
      <t>トクテイシンゾク</t>
    </rPh>
    <rPh sb="25" eb="27">
      <t>ハヤウ</t>
    </rPh>
    <rPh sb="34" eb="35">
      <t>ノゾ</t>
    </rPh>
    <rPh sb="37" eb="39">
      <t>ホンニン</t>
    </rPh>
    <rPh sb="39" eb="41">
      <t>ハヤウ</t>
    </rPh>
    <rPh sb="43" eb="45">
      <t>コウジョ</t>
    </rPh>
    <rPh sb="46" eb="47">
      <t>ガク</t>
    </rPh>
    <phoneticPr fontId="2"/>
  </si>
  <si>
    <t>★本人が特定親族の場合、「どちらの生計維持者に扶養されていますか」の質問に「扶養されていない」と答える可能性が高く、その場合「どちらの維持者から引けばいいか分からないため算定基準額が高い方から控除額を引く」という特殊処理が必要になる。例えば１つ上の値に混ぜたりしてしまうと、非常にややこしいため、独立して計算する。早生まれ特定親族特別控除も同様</t>
    <rPh sb="1" eb="3">
      <t>ホンニン</t>
    </rPh>
    <rPh sb="4" eb="8">
      <t>トクテイシンゾク</t>
    </rPh>
    <rPh sb="9" eb="11">
      <t>バアイ</t>
    </rPh>
    <rPh sb="34" eb="36">
      <t>シツモン</t>
    </rPh>
    <rPh sb="48" eb="49">
      <t>コタ</t>
    </rPh>
    <rPh sb="51" eb="54">
      <t>カノウセイ</t>
    </rPh>
    <rPh sb="55" eb="56">
      <t>タカ</t>
    </rPh>
    <rPh sb="60" eb="62">
      <t>バアイ</t>
    </rPh>
    <rPh sb="67" eb="69">
      <t>イジ</t>
    </rPh>
    <rPh sb="69" eb="70">
      <t>シャ</t>
    </rPh>
    <rPh sb="72" eb="73">
      <t>ヒ</t>
    </rPh>
    <rPh sb="78" eb="79">
      <t>ワ</t>
    </rPh>
    <rPh sb="85" eb="87">
      <t>サンテイ</t>
    </rPh>
    <rPh sb="87" eb="89">
      <t>キジュン</t>
    </rPh>
    <rPh sb="89" eb="90">
      <t>ガク</t>
    </rPh>
    <rPh sb="91" eb="92">
      <t>タカ</t>
    </rPh>
    <rPh sb="93" eb="94">
      <t>ホウ</t>
    </rPh>
    <rPh sb="96" eb="98">
      <t>コウジョ</t>
    </rPh>
    <rPh sb="98" eb="99">
      <t>ガク</t>
    </rPh>
    <rPh sb="100" eb="101">
      <t>ヒ</t>
    </rPh>
    <rPh sb="106" eb="108">
      <t>トクシュ</t>
    </rPh>
    <rPh sb="108" eb="110">
      <t>ショリ</t>
    </rPh>
    <rPh sb="111" eb="113">
      <t>ヒツヨウ</t>
    </rPh>
    <rPh sb="117" eb="118">
      <t>タト</t>
    </rPh>
    <rPh sb="122" eb="123">
      <t>ウエ</t>
    </rPh>
    <rPh sb="124" eb="125">
      <t>アタイ</t>
    </rPh>
    <rPh sb="126" eb="127">
      <t>マ</t>
    </rPh>
    <rPh sb="137" eb="139">
      <t>ヒジョウ</t>
    </rPh>
    <rPh sb="148" eb="150">
      <t>ドクリツ</t>
    </rPh>
    <rPh sb="152" eb="154">
      <t>ケイサン</t>
    </rPh>
    <rPh sb="157" eb="159">
      <t>ハヤウ</t>
    </rPh>
    <rPh sb="161" eb="165">
      <t>トクテイシンゾク</t>
    </rPh>
    <rPh sb="165" eb="167">
      <t>トクベツ</t>
    </rPh>
    <rPh sb="167" eb="169">
      <t>コウジョ</t>
    </rPh>
    <rPh sb="170" eb="172">
      <t>ドウヨウ</t>
    </rPh>
    <phoneticPr fontId="2"/>
  </si>
  <si>
    <t>★C61,D61も引くように変更</t>
    <rPh sb="9" eb="10">
      <t>ヒ</t>
    </rPh>
    <rPh sb="14" eb="16">
      <t>ヘンコウ</t>
    </rPh>
    <phoneticPr fontId="2"/>
  </si>
  <si>
    <t>★計算シート2で検出した「特定親族」と「実は特定扶養親族」を加算。なお、年上尊属を除く関係でこの式は申告書シートに入力された数を直接数えているため、「実は特定扶養親族」をここでも改めて足す必要がある</t>
    <rPh sb="13" eb="15">
      <t>トクテイ</t>
    </rPh>
    <rPh sb="15" eb="17">
      <t>シンゾク</t>
    </rPh>
    <rPh sb="30" eb="32">
      <t>カサン</t>
    </rPh>
    <rPh sb="36" eb="38">
      <t>トシウエ</t>
    </rPh>
    <rPh sb="38" eb="40">
      <t>ソンゾク</t>
    </rPh>
    <rPh sb="41" eb="42">
      <t>ノゾ</t>
    </rPh>
    <rPh sb="43" eb="45">
      <t>カンケイ</t>
    </rPh>
    <rPh sb="48" eb="49">
      <t>シキ</t>
    </rPh>
    <rPh sb="50" eb="52">
      <t>シンコク</t>
    </rPh>
    <rPh sb="52" eb="53">
      <t>ショ</t>
    </rPh>
    <rPh sb="57" eb="59">
      <t>ニュウリョク</t>
    </rPh>
    <rPh sb="62" eb="63">
      <t>カズ</t>
    </rPh>
    <rPh sb="64" eb="66">
      <t>チョクセツ</t>
    </rPh>
    <rPh sb="66" eb="67">
      <t>カゾ</t>
    </rPh>
    <rPh sb="75" eb="76">
      <t>ジツ</t>
    </rPh>
    <rPh sb="77" eb="79">
      <t>トクテイ</t>
    </rPh>
    <rPh sb="79" eb="81">
      <t>フヨウ</t>
    </rPh>
    <rPh sb="81" eb="83">
      <t>シンゾク</t>
    </rPh>
    <rPh sb="89" eb="90">
      <t>アラタ</t>
    </rPh>
    <rPh sb="92" eb="93">
      <t>タ</t>
    </rPh>
    <rPh sb="94" eb="96">
      <t>ヒツヨウ</t>
    </rPh>
    <phoneticPr fontId="2"/>
  </si>
  <si>
    <t>★計算シート2で本人に多子こどもフラグが立っている場合もOK</t>
    <rPh sb="8" eb="10">
      <t>ホンニン</t>
    </rPh>
    <rPh sb="11" eb="13">
      <t>タシ</t>
    </rPh>
    <rPh sb="20" eb="21">
      <t>タ</t>
    </rPh>
    <rPh sb="25" eb="27">
      <t>バアイ</t>
    </rPh>
    <phoneticPr fontId="2"/>
  </si>
  <si>
    <t>ひとり親要件の規定と微妙に合っていなかったので修正</t>
    <rPh sb="3" eb="4">
      <t>オヤ</t>
    </rPh>
    <rPh sb="4" eb="6">
      <t>ヨウケン</t>
    </rPh>
    <rPh sb="7" eb="9">
      <t>キテイ</t>
    </rPh>
    <rPh sb="10" eb="12">
      <t>ビミョウ</t>
    </rPh>
    <rPh sb="13" eb="14">
      <t>ア</t>
    </rPh>
    <rPh sb="23" eb="25">
      <t>シュウセイ</t>
    </rPh>
    <phoneticPr fontId="2"/>
  </si>
  <si>
    <t>特特控除額</t>
    <rPh sb="2" eb="4">
      <t>コウジョ</t>
    </rPh>
    <rPh sb="4" eb="5">
      <t>ガク</t>
    </rPh>
    <phoneticPr fontId="2"/>
  </si>
  <si>
    <t>★今回の税制改正は合計所得金額58万円以下にしか関係ないため、税制改正フラグ(C51)が1かつ合計所得金額58万円以下の場合と、それ以外の場合で分岐させている</t>
    <rPh sb="1" eb="3">
      <t>コンカイ</t>
    </rPh>
    <rPh sb="4" eb="8">
      <t>ゼイセイカイセイ</t>
    </rPh>
    <rPh sb="9" eb="11">
      <t>ゴウケイ</t>
    </rPh>
    <rPh sb="11" eb="13">
      <t>ショトク</t>
    </rPh>
    <rPh sb="13" eb="15">
      <t>キンガク</t>
    </rPh>
    <rPh sb="17" eb="19">
      <t>マンエン</t>
    </rPh>
    <rPh sb="19" eb="21">
      <t>イカ</t>
    </rPh>
    <rPh sb="24" eb="26">
      <t>カンケイ</t>
    </rPh>
    <rPh sb="31" eb="33">
      <t>ゼイセイ</t>
    </rPh>
    <rPh sb="33" eb="35">
      <t>カイセイ</t>
    </rPh>
    <rPh sb="47" eb="49">
      <t>ゴウケイ</t>
    </rPh>
    <rPh sb="49" eb="51">
      <t>ショトク</t>
    </rPh>
    <rPh sb="51" eb="53">
      <t>キンガク</t>
    </rPh>
    <rPh sb="55" eb="56">
      <t>マン</t>
    </rPh>
    <rPh sb="56" eb="57">
      <t>エン</t>
    </rPh>
    <rPh sb="57" eb="59">
      <t>イカ</t>
    </rPh>
    <rPh sb="60" eb="62">
      <t>バアイ</t>
    </rPh>
    <rPh sb="66" eb="68">
      <t>イガイ</t>
    </rPh>
    <rPh sb="69" eb="71">
      <t>バアイ</t>
    </rPh>
    <rPh sb="72" eb="74">
      <t>ブンキ</t>
    </rPh>
    <phoneticPr fontId="2"/>
  </si>
  <si>
    <t>(T13人的控除!B57の値を変更することで、本人勤労学生控除の式(B20)は変更せずに済んだ)</t>
    <rPh sb="13" eb="14">
      <t>アタイ</t>
    </rPh>
    <rPh sb="15" eb="17">
      <t>ヘンコウ</t>
    </rPh>
    <rPh sb="23" eb="25">
      <t>ホンニン</t>
    </rPh>
    <rPh sb="25" eb="27">
      <t>キンロウ</t>
    </rPh>
    <rPh sb="27" eb="29">
      <t>ガクセイ</t>
    </rPh>
    <rPh sb="29" eb="31">
      <t>コウジョ</t>
    </rPh>
    <rPh sb="32" eb="33">
      <t>シキ</t>
    </rPh>
    <rPh sb="39" eb="41">
      <t>ヘンコウ</t>
    </rPh>
    <rPh sb="44" eb="45">
      <t>ス</t>
    </rPh>
    <phoneticPr fontId="2"/>
  </si>
  <si>
    <t>★税制改正前後で、合計所得金額の基準が切り替わる</t>
    <rPh sb="1" eb="5">
      <t>ゼイセイカイセイ</t>
    </rPh>
    <rPh sb="5" eb="7">
      <t>ゼンゴ</t>
    </rPh>
    <rPh sb="9" eb="15">
      <t>ゴウケイショトクキンガク</t>
    </rPh>
    <rPh sb="16" eb="18">
      <t>キジュン</t>
    </rPh>
    <rPh sb="19" eb="20">
      <t>キ</t>
    </rPh>
    <rPh sb="21" eb="22">
      <t>カ</t>
    </rPh>
    <phoneticPr fontId="2"/>
  </si>
  <si>
    <t>★これまでは基礎控除等改正時(R2ごろ)の分岐フラグとしていたが、今回の特定親族等の改正で分岐するフラグに意味を変更</t>
    <rPh sb="6" eb="8">
      <t>キソ</t>
    </rPh>
    <rPh sb="8" eb="10">
      <t>コウジョ</t>
    </rPh>
    <rPh sb="10" eb="11">
      <t>トウ</t>
    </rPh>
    <rPh sb="11" eb="13">
      <t>カイセイ</t>
    </rPh>
    <rPh sb="13" eb="14">
      <t>ジ</t>
    </rPh>
    <rPh sb="21" eb="23">
      <t>ブンキ</t>
    </rPh>
    <rPh sb="33" eb="35">
      <t>コンカイ</t>
    </rPh>
    <rPh sb="36" eb="38">
      <t>トクテイ</t>
    </rPh>
    <rPh sb="38" eb="40">
      <t>シンゾク</t>
    </rPh>
    <rPh sb="40" eb="41">
      <t>トウ</t>
    </rPh>
    <rPh sb="42" eb="44">
      <t>カイセイ</t>
    </rPh>
    <rPh sb="45" eb="47">
      <t>ブンキ</t>
    </rPh>
    <rPh sb="53" eb="55">
      <t>イミ</t>
    </rPh>
    <rPh sb="56" eb="58">
      <t>ヘンコウ</t>
    </rPh>
    <phoneticPr fontId="2"/>
  </si>
  <si>
    <t>関数の循環回避のために従来はC4,D4とは別に計算していたが、今回の改正で全く同じ式で問題なくなった(=C4などとしても問題無さそうだが、とりあえず機械的に修正)</t>
    <rPh sb="0" eb="2">
      <t>カンスウ</t>
    </rPh>
    <rPh sb="3" eb="5">
      <t>ジュンカン</t>
    </rPh>
    <rPh sb="5" eb="7">
      <t>カイヒ</t>
    </rPh>
    <rPh sb="11" eb="13">
      <t>ジュウライ</t>
    </rPh>
    <rPh sb="21" eb="22">
      <t>ベツ</t>
    </rPh>
    <rPh sb="23" eb="25">
      <t>ケイサン</t>
    </rPh>
    <rPh sb="31" eb="33">
      <t>コンカイ</t>
    </rPh>
    <rPh sb="34" eb="36">
      <t>カイセイ</t>
    </rPh>
    <rPh sb="37" eb="38">
      <t>マッタ</t>
    </rPh>
    <rPh sb="39" eb="40">
      <t>オナ</t>
    </rPh>
    <rPh sb="41" eb="42">
      <t>シキ</t>
    </rPh>
    <rPh sb="43" eb="45">
      <t>モンダイ</t>
    </rPh>
    <rPh sb="60" eb="62">
      <t>モンダイ</t>
    </rPh>
    <rPh sb="62" eb="63">
      <t>ナ</t>
    </rPh>
    <rPh sb="74" eb="77">
      <t>キカイテキ</t>
    </rPh>
    <rPh sb="78" eb="80">
      <t>シュウセイ</t>
    </rPh>
    <phoneticPr fontId="2"/>
  </si>
  <si>
    <t>所得金額調整控除の適用について修正</t>
    <rPh sb="0" eb="2">
      <t>ショトク</t>
    </rPh>
    <rPh sb="2" eb="4">
      <t>キンガク</t>
    </rPh>
    <rPh sb="4" eb="6">
      <t>チョウセイ</t>
    </rPh>
    <rPh sb="6" eb="8">
      <t>コウジョ</t>
    </rPh>
    <rPh sb="9" eb="11">
      <t>テキヨウ</t>
    </rPh>
    <rPh sb="15" eb="17">
      <t>シュウセイ</t>
    </rPh>
    <phoneticPr fontId="2"/>
  </si>
  <si>
    <t>計算式を簡略化</t>
    <rPh sb="0" eb="3">
      <t>ケイサンシキ</t>
    </rPh>
    <rPh sb="4" eb="7">
      <t>カンリャクカ</t>
    </rPh>
    <phoneticPr fontId="2"/>
  </si>
  <si>
    <t>05.収入（所得）は、申込区分に基づき申告いただく１年間に、本人に収入があったかどうかを入力します。</t>
    <rPh sb="11" eb="13">
      <t>モウシコ</t>
    </rPh>
    <rPh sb="13" eb="15">
      <t>クブン</t>
    </rPh>
    <rPh sb="16" eb="17">
      <t>モト</t>
    </rPh>
    <rPh sb="19" eb="21">
      <t>シンコク</t>
    </rPh>
    <rPh sb="26" eb="28">
      <t>ネンカン</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</si>
  <si>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※大学院の申込みの場合、01～09は表示されません。</t>
    <rPh sb="109" eb="113">
      <t>ショトクキンガク</t>
    </rPh>
    <rPh sb="114" eb="116">
      <t>ニュウリョク</t>
    </rPh>
    <rPh sb="122" eb="125">
      <t>ダイガクイン</t>
    </rPh>
    <rPh sb="126" eb="127">
      <t>モウ</t>
    </rPh>
    <rPh sb="127" eb="128">
      <t>コ</t>
    </rPh>
    <rPh sb="130" eb="132">
      <t>バアイ</t>
    </rPh>
    <rPh sb="139" eb="141">
      <t>ヒョウジ</t>
    </rPh>
    <phoneticPr fontId="2"/>
  </si>
  <si>
    <t>※10以降は生計維持者に関する情報の入力になりますが、大学院の申込みの場合、申込者本人及び申込者本人の配偶者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3">
      <t>モウシコ</t>
    </rPh>
    <rPh sb="35" eb="37">
      <t>バアイ</t>
    </rPh>
    <phoneticPr fontId="2"/>
  </si>
  <si>
    <t>※複数の通貨による同一の種類の収入（例えば、米ドルと日本円それぞれによる給与収入）がある場合には、１つの通貨にまとめて計上してください。その際に用いるレートは、申込み等で参照する税情報に応じた年（入力した収入（所得）の年の次の年）の、日本銀行が公表する１月分の報告省令レート（ただし、米ドルと日本円間のレートについては同年１月１日時点の為替レート）を用いてください。</t>
    <rPh sb="80" eb="82">
      <t>モウシコミ</t>
    </rPh>
    <rPh sb="83" eb="84">
      <t>トウ</t>
    </rPh>
    <rPh sb="85" eb="87">
      <t>サンショウ</t>
    </rPh>
    <rPh sb="89" eb="90">
      <t>ゼイ</t>
    </rPh>
    <rPh sb="90" eb="92">
      <t>ジョウホウ</t>
    </rPh>
    <rPh sb="93" eb="94">
      <t>オウ</t>
    </rPh>
    <rPh sb="96" eb="97">
      <t>ネン</t>
    </rPh>
    <rPh sb="98" eb="100">
      <t>ニュウリョク</t>
    </rPh>
    <rPh sb="102" eb="104">
      <t>シュウニュウ</t>
    </rPh>
    <rPh sb="105" eb="107">
      <t>ショトク</t>
    </rPh>
    <rPh sb="109" eb="110">
      <t>ネン</t>
    </rPh>
    <rPh sb="111" eb="112">
      <t>ツギ</t>
    </rPh>
    <rPh sb="113" eb="114">
      <t>トシ</t>
    </rPh>
    <rPh sb="117" eb="119">
      <t>ニホン</t>
    </rPh>
    <rPh sb="119" eb="121">
      <t>ギンコウ</t>
    </rPh>
    <rPh sb="122" eb="124">
      <t>コウヒョウ</t>
    </rPh>
    <phoneticPr fontId="2"/>
  </si>
  <si>
    <t>★特定親族について</t>
    <rPh sb="1" eb="3">
      <t>トクテイ</t>
    </rPh>
    <rPh sb="3" eb="5">
      <t>シンゾク</t>
    </rPh>
    <phoneticPr fontId="2"/>
  </si>
  <si>
    <t>なお、レート換算等により、計算結果として特定親族でない範囲の年収になった場合でも、問題なく判定されます。</t>
    <rPh sb="6" eb="8">
      <t>カンサン</t>
    </rPh>
    <rPh sb="8" eb="9">
      <t>トウ</t>
    </rPh>
    <rPh sb="13" eb="15">
      <t>ケイサン</t>
    </rPh>
    <rPh sb="15" eb="17">
      <t>ケッカ</t>
    </rPh>
    <rPh sb="20" eb="24">
      <t>トクテイシンゾク</t>
    </rPh>
    <rPh sb="27" eb="29">
      <t>ハンイ</t>
    </rPh>
    <rPh sb="30" eb="32">
      <t>ネンシュウ</t>
    </rPh>
    <rPh sb="36" eb="38">
      <t>バアイ</t>
    </rPh>
    <rPh sb="41" eb="43">
      <t>モンダイ</t>
    </rPh>
    <rPh sb="45" eb="47">
      <t>ハンテイ</t>
    </rPh>
    <phoneticPr fontId="2"/>
  </si>
  <si>
    <t>「特定親族」については、下記をご参照ください。</t>
    <rPh sb="1" eb="3">
      <t>トクテイ</t>
    </rPh>
    <rPh sb="3" eb="5">
      <t>シンゾク</t>
    </rPh>
    <rPh sb="12" eb="14">
      <t>カキ</t>
    </rPh>
    <rPh sb="16" eb="18">
      <t>サンショウ</t>
    </rPh>
    <phoneticPr fontId="2"/>
  </si>
  <si>
    <t>　https://www.nta.go.jp/taxes/shiraberu/taxanswer/shotoku/1177.htm</t>
    <phoneticPr fontId="2"/>
  </si>
  <si>
    <t>税制改正(特定親族)対応</t>
    <rPh sb="0" eb="4">
      <t>ゼイセイカイセイ</t>
    </rPh>
    <rPh sb="5" eb="7">
      <t>トクテイ</t>
    </rPh>
    <rPh sb="7" eb="9">
      <t>シンゾク</t>
    </rPh>
    <rPh sb="10" eb="12">
      <t>タイオウ</t>
    </rPh>
    <phoneticPr fontId="2"/>
  </si>
  <si>
    <t>１ページ目で入力した「19～22歳の特定親族」(収入123万円超188万円以下、所得58万円超123万円以下)</t>
    <rPh sb="4" eb="5">
      <t>メ</t>
    </rPh>
    <rPh sb="6" eb="8">
      <t>ニュウリョク</t>
    </rPh>
    <rPh sb="31" eb="32">
      <t>チョウ</t>
    </rPh>
    <rPh sb="40" eb="42">
      <t>ショトク</t>
    </rPh>
    <rPh sb="44" eb="46">
      <t>マンエン</t>
    </rPh>
    <rPh sb="46" eb="47">
      <t>チョウ</t>
    </rPh>
    <rPh sb="50" eb="52">
      <t>マンエン</t>
    </rPh>
    <rPh sb="52" eb="54">
      <t>イカイカニュウリョク</t>
    </rPh>
    <phoneticPr fontId="2"/>
  </si>
  <si>
    <t>について、その方の収入・所得を入力してください。</t>
    <rPh sb="7" eb="8">
      <t>カタ</t>
    </rPh>
    <rPh sb="9" eb="11">
      <t>シュウニュウ</t>
    </rPh>
    <rPh sb="12" eb="14">
      <t>ショトク</t>
    </rPh>
    <phoneticPr fontId="2"/>
  </si>
  <si>
    <t>(3)本人及び生計維持者２が１月１日時点で国内に居住し、生計維持者１のみが同時点で海外に居住している場合、生計維持者１の年収等について本申告書を提出します。（ただし、生計維持者２の分の収入等を入力する必要はあります。）生計維持者の情報は、申込時のスカラネット（採用後の場合は、在籍報告）入力と同じにしてください。</t>
    <rPh sb="15" eb="16">
      <t>ガツ</t>
    </rPh>
    <rPh sb="17" eb="18">
      <t>ニチ</t>
    </rPh>
    <rPh sb="18" eb="20">
      <t>ジテン</t>
    </rPh>
    <rPh sb="21" eb="23">
      <t>コクナイ</t>
    </rPh>
    <rPh sb="24" eb="26">
      <t>キョジュウ</t>
    </rPh>
    <rPh sb="37" eb="38">
      <t>ドウ</t>
    </rPh>
    <rPh sb="60" eb="62">
      <t>ネンシュウ</t>
    </rPh>
    <rPh sb="62" eb="63">
      <t>トウ</t>
    </rPh>
    <rPh sb="83" eb="88">
      <t>セイケイイジシャ</t>
    </rPh>
    <rPh sb="90" eb="91">
      <t>ブン</t>
    </rPh>
    <rPh sb="92" eb="94">
      <t>シュウニュウ</t>
    </rPh>
    <rPh sb="94" eb="95">
      <t>トウ</t>
    </rPh>
    <rPh sb="96" eb="98">
      <t>ニュウリョク</t>
    </rPh>
    <rPh sb="100" eb="102">
      <t>ヒツヨウ</t>
    </rPh>
    <rPh sb="109" eb="111">
      <t>セイケイ</t>
    </rPh>
    <rPh sb="111" eb="113">
      <t>イジ</t>
    </rPh>
    <rPh sb="113" eb="114">
      <t>シャ</t>
    </rPh>
    <rPh sb="115" eb="117">
      <t>ジョウホウ</t>
    </rPh>
    <rPh sb="119" eb="121">
      <t>モウシコミ</t>
    </rPh>
    <rPh sb="121" eb="122">
      <t>ジ</t>
    </rPh>
    <rPh sb="130" eb="133">
      <t>サイヨウゴ</t>
    </rPh>
    <rPh sb="134" eb="136">
      <t>バアイ</t>
    </rPh>
    <rPh sb="138" eb="140">
      <t>ザイセキ</t>
    </rPh>
    <rPh sb="140" eb="142">
      <t>ホウコク</t>
    </rPh>
    <rPh sb="143" eb="145">
      <t>ニュウリョク</t>
    </rPh>
    <rPh sb="146" eb="147">
      <t>オナ</t>
    </rPh>
    <phoneticPr fontId="2"/>
  </si>
  <si>
    <t>36.～38.・46.～48.　29以降で入力した扶養親族(特定親族は含みません)のうち、所得税法に定める（もしくは、所得税法の定めに該当すると考えられる）障がい者の人数を入力します。</t>
    <rPh sb="18" eb="20">
      <t>イコウ</t>
    </rPh>
    <rPh sb="21" eb="23">
      <t>ニュウリョク</t>
    </rPh>
    <rPh sb="25" eb="27">
      <t>フヨウ</t>
    </rPh>
    <rPh sb="27" eb="29">
      <t>シンゾク</t>
    </rPh>
    <rPh sb="30" eb="32">
      <t>トクテイ</t>
    </rPh>
    <rPh sb="32" eb="34">
      <t>シンゾク</t>
    </rPh>
    <rPh sb="35" eb="36">
      <t>フク</t>
    </rPh>
    <rPh sb="45" eb="47">
      <t>ショトク</t>
    </rPh>
    <rPh sb="47" eb="49">
      <t>ゼイホウ</t>
    </rPh>
    <rPh sb="50" eb="51">
      <t>サダ</t>
    </rPh>
    <rPh sb="59" eb="61">
      <t>ショトク</t>
    </rPh>
    <rPh sb="61" eb="63">
      <t>ゼイホウ</t>
    </rPh>
    <rPh sb="64" eb="65">
      <t>サダ</t>
    </rPh>
    <rPh sb="67" eb="69">
      <t>ガイトウ</t>
    </rPh>
    <rPh sb="72" eb="73">
      <t>カンガ</t>
    </rPh>
    <rPh sb="78" eb="79">
      <t>ショウ</t>
    </rPh>
    <rPh sb="81" eb="82">
      <t>シャ</t>
    </rPh>
    <rPh sb="83" eb="85">
      <t>ニンズウ</t>
    </rPh>
    <rPh sb="86" eb="88">
      <t>ニュウリョク</t>
    </rPh>
    <phoneticPr fontId="2"/>
  </si>
  <si>
    <t>早生まれ控除額(除特定親族の場合)</t>
    <rPh sb="0" eb="2">
      <t>ハヤウ</t>
    </rPh>
    <rPh sb="4" eb="6">
      <t>コウジョ</t>
    </rPh>
    <rPh sb="6" eb="7">
      <t>ガク</t>
    </rPh>
    <rPh sb="8" eb="9">
      <t>ノゾ</t>
    </rPh>
    <rPh sb="9" eb="11">
      <t>トクテイ</t>
    </rPh>
    <rPh sb="11" eb="13">
      <t>シンゾク</t>
    </rPh>
    <rPh sb="14" eb="16">
      <t>バアイ</t>
    </rPh>
    <phoneticPr fontId="2"/>
  </si>
  <si>
    <t>支給額算定基準額(早生まれ等適用後)</t>
    <rPh sb="0" eb="3">
      <t>シキュウガク</t>
    </rPh>
    <rPh sb="3" eb="5">
      <t>サンテイ</t>
    </rPh>
    <rPh sb="5" eb="7">
      <t>キジュン</t>
    </rPh>
    <rPh sb="7" eb="8">
      <t>ガク</t>
    </rPh>
    <rPh sb="9" eb="11">
      <t>ハヤウ</t>
    </rPh>
    <rPh sb="13" eb="14">
      <t>トウ</t>
    </rPh>
    <rPh sb="14" eb="16">
      <t>テキヨウ</t>
    </rPh>
    <rPh sb="16" eb="17">
      <t>ゴ</t>
    </rPh>
    <phoneticPr fontId="2"/>
  </si>
  <si>
    <t>控除前貸与額算定基準額（早生まれ等適用後）</t>
    <rPh sb="0" eb="2">
      <t>コウジョ</t>
    </rPh>
    <rPh sb="2" eb="3">
      <t>マエ</t>
    </rPh>
    <rPh sb="3" eb="11">
      <t>タイヨガクサンテイキジュンガク</t>
    </rPh>
    <rPh sb="12" eb="14">
      <t>ハヤウ</t>
    </rPh>
    <rPh sb="16" eb="17">
      <t>トウ</t>
    </rPh>
    <rPh sb="17" eb="19">
      <t>テキヨウ</t>
    </rPh>
    <rPh sb="19" eb="20">
      <t>ゴ</t>
    </rPh>
    <phoneticPr fontId="2"/>
  </si>
  <si>
    <r>
      <t>所得金額調整控除</t>
    </r>
    <r>
      <rPr>
        <sz val="11"/>
        <color rgb="FFFF0000"/>
        <rFont val="ＭＳ Ｐゴシック"/>
        <family val="3"/>
        <charset val="128"/>
        <scheme val="minor"/>
      </rPr>
      <t>Ａ</t>
    </r>
    <r>
      <rPr>
        <sz val="11"/>
        <rFont val="ＭＳ Ｐゴシック"/>
        <family val="3"/>
        <charset val="128"/>
        <scheme val="minor"/>
      </rPr>
      <t>適用前合計所得金額</t>
    </r>
    <rPh sb="0" eb="2">
      <t>ショトク</t>
    </rPh>
    <rPh sb="2" eb="4">
      <t>キンガク</t>
    </rPh>
    <rPh sb="4" eb="6">
      <t>チョウセイ</t>
    </rPh>
    <rPh sb="6" eb="8">
      <t>コウジョ</t>
    </rPh>
    <rPh sb="9" eb="11">
      <t>テキヨウ</t>
    </rPh>
    <rPh sb="11" eb="12">
      <t>マエ</t>
    </rPh>
    <rPh sb="12" eb="18">
      <t>ゴウケイショトクキンガク</t>
    </rPh>
    <phoneticPr fontId="2"/>
  </si>
  <si>
    <r>
      <t>所得金額調整控除</t>
    </r>
    <r>
      <rPr>
        <sz val="11"/>
        <color rgb="FFFF0000"/>
        <rFont val="ＭＳ Ｐゴシック"/>
        <family val="3"/>
        <charset val="128"/>
        <scheme val="minor"/>
      </rPr>
      <t>Ａ</t>
    </r>
    <r>
      <rPr>
        <sz val="11"/>
        <rFont val="ＭＳ Ｐゴシック"/>
        <family val="3"/>
        <charset val="128"/>
        <scheme val="minor"/>
      </rPr>
      <t>適用前給与所得金額</t>
    </r>
    <rPh sb="0" eb="2">
      <t>ショトク</t>
    </rPh>
    <rPh sb="2" eb="4">
      <t>キンガク</t>
    </rPh>
    <rPh sb="4" eb="6">
      <t>チョウセイ</t>
    </rPh>
    <rPh sb="6" eb="8">
      <t>コウジョ</t>
    </rPh>
    <rPh sb="9" eb="11">
      <t>テキヨウ</t>
    </rPh>
    <rPh sb="11" eb="12">
      <t>マエ</t>
    </rPh>
    <rPh sb="12" eb="14">
      <t>キュウヨ</t>
    </rPh>
    <rPh sb="14" eb="16">
      <t>ショトク</t>
    </rPh>
    <rPh sb="16" eb="18">
      <t>キンガク</t>
    </rPh>
    <phoneticPr fontId="2"/>
  </si>
  <si>
    <r>
      <t>今回の税制改正で変更は無いが、税制改正フラグ(C51)の意味を変えたことで以前の式(もっと昔の税制改正で式を変えていた)が成り立たなくなったため修正</t>
    </r>
    <r>
      <rPr>
        <sz val="11"/>
        <color rgb="FFFF0000"/>
        <rFont val="ＭＳ Ｐゴシック"/>
        <family val="3"/>
        <charset val="128"/>
        <scheme val="minor"/>
      </rPr>
      <t>、本人が23歳未満のときしか扶養親族持ち条件を満たせないようにIF文追加</t>
    </r>
    <rPh sb="0" eb="2">
      <t>コンカイ</t>
    </rPh>
    <rPh sb="3" eb="7">
      <t>ゼイセイカイセイ</t>
    </rPh>
    <rPh sb="8" eb="10">
      <t>ヘンコウ</t>
    </rPh>
    <rPh sb="11" eb="12">
      <t>ナ</t>
    </rPh>
    <rPh sb="28" eb="30">
      <t>イミ</t>
    </rPh>
    <rPh sb="31" eb="32">
      <t>カ</t>
    </rPh>
    <rPh sb="37" eb="39">
      <t>イゼン</t>
    </rPh>
    <rPh sb="40" eb="41">
      <t>シキ</t>
    </rPh>
    <rPh sb="45" eb="46">
      <t>ムカシ</t>
    </rPh>
    <rPh sb="47" eb="49">
      <t>ゼイセイ</t>
    </rPh>
    <rPh sb="49" eb="51">
      <t>カイセイ</t>
    </rPh>
    <rPh sb="52" eb="53">
      <t>シキ</t>
    </rPh>
    <rPh sb="54" eb="55">
      <t>カ</t>
    </rPh>
    <rPh sb="61" eb="62">
      <t>ナ</t>
    </rPh>
    <rPh sb="63" eb="64">
      <t>タ</t>
    </rPh>
    <rPh sb="72" eb="74">
      <t>シュウセイ</t>
    </rPh>
    <rPh sb="75" eb="77">
      <t>ホンニン</t>
    </rPh>
    <rPh sb="80" eb="83">
      <t>サイミマン</t>
    </rPh>
    <rPh sb="88" eb="90">
      <t>フヨウ</t>
    </rPh>
    <rPh sb="90" eb="92">
      <t>シンゾク</t>
    </rPh>
    <rPh sb="92" eb="93">
      <t>モ</t>
    </rPh>
    <rPh sb="94" eb="96">
      <t>ジョウケン</t>
    </rPh>
    <rPh sb="97" eb="98">
      <t>ミ</t>
    </rPh>
    <rPh sb="107" eb="108">
      <t>ブン</t>
    </rPh>
    <rPh sb="108" eb="110">
      <t>ツイカ</t>
    </rPh>
    <phoneticPr fontId="2"/>
  </si>
  <si>
    <t>29.～35.・39.～45.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43）については、そのうち、生計維持者より年長の者が何人であるかも入力してください。扶養親族については、国内に居住しているか否かにかかわらず、生計維持者との関係を証明する書類が必要です。32.及び42.の「特定親族」については、下記「★特定親族について」をご参照ください。なお、「扶養親族」と「特定親族」に同一人物を計上しないようご注意ください。</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rPh sb="271" eb="272">
      <t>オヨ</t>
    </rPh>
    <rPh sb="278" eb="282">
      <t>トクテイシンゾク</t>
    </rPh>
    <rPh sb="289" eb="291">
      <t>カキ</t>
    </rPh>
    <rPh sb="293" eb="295">
      <t>トクテイ</t>
    </rPh>
    <rPh sb="295" eb="297">
      <t>シンゾク</t>
    </rPh>
    <rPh sb="304" eb="306">
      <t>サンショウ</t>
    </rPh>
    <rPh sb="315" eb="317">
      <t>フヨウ</t>
    </rPh>
    <rPh sb="317" eb="319">
      <t>シンゾク</t>
    </rPh>
    <rPh sb="322" eb="324">
      <t>トクテイ</t>
    </rPh>
    <rPh sb="324" eb="326">
      <t>シンゾク</t>
    </rPh>
    <rPh sb="328" eb="330">
      <t>ドウイツ</t>
    </rPh>
    <rPh sb="330" eb="332">
      <t>ジンブツ</t>
    </rPh>
    <rPh sb="333" eb="335">
      <t>ケイジョウ</t>
    </rPh>
    <rPh sb="341" eb="343">
      <t>チュウイ</t>
    </rPh>
    <phoneticPr fontId="2"/>
  </si>
  <si>
    <t>仮に所得税法が適用されているとした場合に、所得税法上の「特定親族」に該当する者がいる場合は、32.及び42.に人数を入力した上で、左の別紙にて特定親族の者の収入等を入力する必要があります。入力方法は17.～28.と同様です。32.及び42.にて入力した人数に合わせて入力欄が表示されますので、それぞれ入力します。
※生計維持者との関係を証明する書類は提出必要ですが、収入・所得を証明する書類は提出不要です。</t>
    <rPh sb="21" eb="23">
      <t>ショトク</t>
    </rPh>
    <rPh sb="23" eb="26">
      <t>ゼイホウジョウ</t>
    </rPh>
    <rPh sb="28" eb="30">
      <t>トクテイ</t>
    </rPh>
    <rPh sb="30" eb="32">
      <t>シンゾク</t>
    </rPh>
    <rPh sb="34" eb="36">
      <t>ガイトウ</t>
    </rPh>
    <rPh sb="38" eb="39">
      <t>モノ</t>
    </rPh>
    <rPh sb="42" eb="44">
      <t>バアイ</t>
    </rPh>
    <rPh sb="49" eb="50">
      <t>オヨ</t>
    </rPh>
    <rPh sb="55" eb="57">
      <t>ニンズウ</t>
    </rPh>
    <rPh sb="58" eb="60">
      <t>ニュウリョク</t>
    </rPh>
    <rPh sb="62" eb="63">
      <t>ウエ</t>
    </rPh>
    <rPh sb="65" eb="66">
      <t>ヒダリ</t>
    </rPh>
    <rPh sb="67" eb="69">
      <t>ベッシ</t>
    </rPh>
    <rPh sb="71" eb="73">
      <t>トクテイ</t>
    </rPh>
    <rPh sb="73" eb="75">
      <t>シンゾク</t>
    </rPh>
    <rPh sb="76" eb="77">
      <t>モノ</t>
    </rPh>
    <rPh sb="78" eb="80">
      <t>シュウニュウ</t>
    </rPh>
    <rPh sb="80" eb="81">
      <t>トウ</t>
    </rPh>
    <rPh sb="82" eb="84">
      <t>ニュウリョク</t>
    </rPh>
    <rPh sb="86" eb="88">
      <t>ヒツヨウ</t>
    </rPh>
    <rPh sb="94" eb="96">
      <t>ニュウリョク</t>
    </rPh>
    <rPh sb="96" eb="98">
      <t>ホウホウ</t>
    </rPh>
    <rPh sb="107" eb="109">
      <t>ドウヨウ</t>
    </rPh>
    <rPh sb="122" eb="124">
      <t>ニュウリョク</t>
    </rPh>
    <rPh sb="129" eb="130">
      <t>ア</t>
    </rPh>
    <rPh sb="133" eb="135">
      <t>ニュウリョク</t>
    </rPh>
    <rPh sb="135" eb="136">
      <t>ラン</t>
    </rPh>
    <rPh sb="137" eb="139">
      <t>ヒョウジ</t>
    </rPh>
    <rPh sb="150" eb="152">
      <t>ニュウリョク</t>
    </rPh>
    <rPh sb="158" eb="163">
      <t>セイケイイジシャ</t>
    </rPh>
    <rPh sb="165" eb="167">
      <t>カンケイ</t>
    </rPh>
    <rPh sb="168" eb="170">
      <t>ショウメイ</t>
    </rPh>
    <rPh sb="172" eb="174">
      <t>ショルイ</t>
    </rPh>
    <rPh sb="175" eb="177">
      <t>テイシュツ</t>
    </rPh>
    <rPh sb="177" eb="179">
      <t>ヒツヨウ</t>
    </rPh>
    <rPh sb="183" eb="185">
      <t>シュウニュウ</t>
    </rPh>
    <rPh sb="186" eb="188">
      <t>ショトク</t>
    </rPh>
    <rPh sb="189" eb="191">
      <t>ショウメイ</t>
    </rPh>
    <rPh sb="193" eb="195">
      <t>ショルイ</t>
    </rPh>
    <rPh sb="196" eb="198">
      <t>テイシュツ</t>
    </rPh>
    <rPh sb="198" eb="20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</si>
</sst>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0;[Red]#,##0"/>
    <numFmt numFmtId="178" formatCode="#,##0.00;[Red]#,##0.00"/>
    <numFmt numFmtId="179" formatCode="yyyy&quot;.&quot;mm"/>
    <numFmt numFmtId="180" formatCode="#,##0_ "/>
  </numFmts>
  <fonts count="47">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b/>
      <sz val="11"/>
      <color theme="1"/>
      <name val="ＤＦ特太ゴシック体"/>
      <family val="3"/>
      <charset val="128"/>
    </font>
    <font>
      <sz val="7.5"/>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11"/>
      <name val="ＤＦ特太ゴシック体"/>
      <family val="3"/>
      <charset val="128"/>
    </font>
    <font>
      <sz val="7.5"/>
      <name val="ＭＳ Ｐゴシック"/>
      <family val="3"/>
      <charset val="128"/>
      <scheme val="minor"/>
    </font>
    <font>
      <sz val="7"/>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double">
        <color indexed="64"/>
      </left>
      <right style="double">
        <color indexed="64"/>
      </right>
      <top/>
      <bottom/>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
      <left style="dashDot">
        <color indexed="64"/>
      </left>
      <right/>
      <top style="double">
        <color indexed="64"/>
      </top>
      <bottom/>
      <diagonal/>
    </border>
    <border>
      <left style="medium">
        <color indexed="64"/>
      </left>
      <right style="medium">
        <color indexed="64"/>
      </right>
      <top/>
      <bottom/>
      <diagonal/>
    </border>
    <border>
      <left style="medium">
        <color indexed="64"/>
      </left>
      <right style="dashDot">
        <color indexed="64"/>
      </right>
      <top/>
      <bottom/>
      <diagonal/>
    </border>
    <border>
      <left style="thin">
        <color indexed="64"/>
      </left>
      <right style="thin">
        <color indexed="64"/>
      </right>
      <top/>
      <bottom style="medium">
        <color indexed="64"/>
      </bottom>
      <diagonal/>
    </border>
    <border>
      <left style="thin">
        <color indexed="64"/>
      </left>
      <right style="dashDot">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right/>
      <top/>
      <bottom style="mediumDashed">
        <color rgb="FF0000CC"/>
      </bottom>
      <diagonal/>
    </border>
    <border>
      <left/>
      <right style="medium">
        <color theme="1"/>
      </right>
      <top/>
      <bottom/>
      <diagonal/>
    </border>
    <border>
      <left/>
      <right style="medium">
        <color theme="1"/>
      </right>
      <top/>
      <bottom style="mediumDashed">
        <color rgb="FF0000CC"/>
      </bottom>
      <diagonal/>
    </border>
    <border>
      <left style="medium">
        <color theme="1"/>
      </left>
      <right/>
      <top style="mediumDashed">
        <color rgb="FF0000CC"/>
      </top>
      <bottom/>
      <diagonal/>
    </border>
    <border>
      <left/>
      <right/>
      <top style="mediumDashed">
        <color rgb="FF0000CC"/>
      </top>
      <bottom/>
      <diagonal/>
    </border>
    <border>
      <left style="medium">
        <color theme="1"/>
      </left>
      <right/>
      <top/>
      <bottom/>
      <diagonal/>
    </border>
  </borders>
  <cellStyleXfs count="2">
    <xf numFmtId="0" fontId="0" fillId="0" borderId="0"/>
    <xf numFmtId="38" fontId="1" fillId="0" borderId="0" applyFont="0" applyFill="0" applyBorder="0" applyAlignment="0" applyProtection="0">
      <alignment vertical="center"/>
    </xf>
  </cellStyleXfs>
  <cellXfs count="658">
    <xf numFmtId="0" fontId="0" fillId="0" borderId="0" xfId="0"/>
    <xf numFmtId="0" fontId="3" fillId="0" borderId="0" xfId="0" applyFont="1"/>
    <xf numFmtId="0" fontId="3" fillId="0" borderId="0" xfId="0" applyFont="1" applyAlignment="1">
      <alignment horizontal="left"/>
    </xf>
    <xf numFmtId="0" fontId="5" fillId="0" borderId="0" xfId="0" applyFont="1"/>
    <xf numFmtId="0" fontId="7" fillId="0" borderId="2" xfId="0" applyFont="1" applyBorder="1" applyProtection="1">
      <protection locked="0"/>
    </xf>
    <xf numFmtId="0" fontId="3" fillId="0" borderId="3" xfId="0" applyFont="1" applyBorder="1"/>
    <xf numFmtId="0" fontId="0" fillId="0" borderId="3" xfId="0" applyBorder="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xf numFmtId="0" fontId="5" fillId="0" borderId="0" xfId="0" applyFont="1" applyAlignment="1">
      <alignment horizontal="centerContinuous"/>
    </xf>
    <xf numFmtId="0" fontId="3" fillId="0" borderId="6" xfId="0" applyFont="1" applyBorder="1" applyAlignment="1">
      <alignment horizontal="centerContinuous"/>
    </xf>
    <xf numFmtId="0" fontId="3" fillId="0" borderId="6" xfId="0" applyFont="1" applyBorder="1"/>
    <xf numFmtId="0" fontId="3" fillId="0" borderId="0" xfId="0" applyFont="1" applyAlignment="1">
      <alignment horizontal="right"/>
    </xf>
    <xf numFmtId="0" fontId="3" fillId="0" borderId="0" xfId="0" applyFont="1" applyAlignment="1">
      <alignment horizontal="center"/>
    </xf>
    <xf numFmtId="0" fontId="3" fillId="0" borderId="0" xfId="0" applyFont="1" applyAlignment="1" applyProtection="1">
      <alignment horizontal="left"/>
      <protection locked="0"/>
    </xf>
    <xf numFmtId="0" fontId="3" fillId="0" borderId="6" xfId="0" applyFont="1" applyBorder="1" applyAlignment="1">
      <alignment horizontal="right"/>
    </xf>
    <xf numFmtId="0" fontId="3" fillId="0" borderId="0" xfId="0" applyFont="1" applyAlignment="1" applyProtection="1">
      <alignment vertical="top"/>
      <protection locked="0"/>
    </xf>
    <xf numFmtId="49" fontId="3" fillId="0" borderId="0" xfId="0" applyNumberFormat="1" applyFont="1" applyAlignment="1" applyProtection="1">
      <alignment vertical="top"/>
      <protection locked="0"/>
    </xf>
    <xf numFmtId="0" fontId="3" fillId="0" borderId="6" xfId="0" applyFont="1" applyBorder="1" applyAlignment="1">
      <alignment horizontal="left"/>
    </xf>
    <xf numFmtId="49" fontId="3" fillId="0" borderId="0" xfId="0" applyNumberFormat="1" applyFont="1" applyAlignment="1" applyProtection="1">
      <alignment horizontal="left"/>
      <protection locked="0"/>
    </xf>
    <xf numFmtId="0" fontId="6" fillId="0" borderId="0" xfId="0" applyFont="1"/>
    <xf numFmtId="58" fontId="3" fillId="0" borderId="0" xfId="0" applyNumberFormat="1" applyFont="1" applyAlignment="1">
      <alignment horizontal="center"/>
    </xf>
    <xf numFmtId="58" fontId="3" fillId="0" borderId="0" xfId="0" applyNumberFormat="1" applyFont="1" applyAlignment="1">
      <alignment horizontal="left"/>
    </xf>
    <xf numFmtId="176" fontId="3" fillId="0" borderId="0" xfId="0" applyNumberFormat="1" applyFont="1"/>
    <xf numFmtId="0" fontId="3" fillId="0" borderId="7" xfId="0" applyFont="1" applyBorder="1"/>
    <xf numFmtId="49" fontId="6" fillId="0" borderId="8" xfId="0" applyNumberFormat="1" applyFont="1" applyBorder="1" applyAlignment="1">
      <alignment horizontal="center"/>
    </xf>
    <xf numFmtId="49" fontId="6" fillId="0" borderId="8" xfId="0" applyNumberFormat="1" applyFont="1" applyBorder="1"/>
    <xf numFmtId="0" fontId="3" fillId="0" borderId="8" xfId="0" applyFont="1" applyBorder="1"/>
    <xf numFmtId="0" fontId="3" fillId="0" borderId="8" xfId="0" applyFont="1" applyBorder="1" applyProtection="1">
      <protection locked="0"/>
    </xf>
    <xf numFmtId="0" fontId="3" fillId="0" borderId="8" xfId="0" applyFont="1" applyBorder="1" applyAlignment="1">
      <alignment horizontal="center"/>
    </xf>
    <xf numFmtId="0" fontId="3" fillId="0" borderId="9" xfId="0" applyFont="1" applyBorder="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10" fillId="0" borderId="0" xfId="0" applyFont="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8" fillId="0" borderId="10" xfId="0" applyFont="1" applyBorder="1" applyAlignment="1">
      <alignment horizontal="center" vertical="center" shrinkToFit="1"/>
    </xf>
    <xf numFmtId="0" fontId="8" fillId="0" borderId="0" xfId="0" applyFont="1"/>
    <xf numFmtId="0" fontId="14" fillId="0" borderId="0" xfId="0" applyFont="1"/>
    <xf numFmtId="0" fontId="15" fillId="0" borderId="0" xfId="0" applyFont="1"/>
    <xf numFmtId="0" fontId="16" fillId="0" borderId="0" xfId="0" applyFont="1"/>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16" fillId="0" borderId="47" xfId="0" applyFont="1" applyBorder="1" applyAlignment="1">
      <alignment vertical="center"/>
    </xf>
    <xf numFmtId="0" fontId="16" fillId="0" borderId="48" xfId="0" applyFont="1" applyBorder="1" applyAlignment="1">
      <alignment vertical="center"/>
    </xf>
    <xf numFmtId="177" fontId="16" fillId="0" borderId="48" xfId="0" applyNumberFormat="1" applyFont="1" applyBorder="1" applyAlignment="1">
      <alignment horizontal="right" vertical="center"/>
    </xf>
    <xf numFmtId="0" fontId="16" fillId="0" borderId="49" xfId="0" applyFont="1" applyBorder="1"/>
    <xf numFmtId="14" fontId="0" fillId="0" borderId="0" xfId="0" applyNumberFormat="1" applyAlignment="1">
      <alignment horizontal="center"/>
    </xf>
    <xf numFmtId="0" fontId="16" fillId="2" borderId="0" xfId="0" applyFont="1" applyFill="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quotePrefix="1" applyFont="1" applyFill="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Border="1" applyAlignment="1">
      <alignment vertical="center"/>
    </xf>
    <xf numFmtId="0" fontId="18" fillId="0" borderId="1" xfId="0" applyFont="1" applyBorder="1" applyAlignment="1">
      <alignment vertical="center"/>
    </xf>
    <xf numFmtId="0" fontId="17" fillId="0" borderId="1" xfId="0" applyFont="1" applyBorder="1" applyAlignment="1">
      <alignment vertical="center"/>
    </xf>
    <xf numFmtId="0" fontId="8" fillId="0" borderId="58" xfId="0" applyFont="1" applyBorder="1" applyAlignment="1">
      <alignment horizontal="center" vertical="center"/>
    </xf>
    <xf numFmtId="0" fontId="23" fillId="0" borderId="55" xfId="0" applyFont="1" applyBorder="1"/>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Alignment="1">
      <alignment shrinkToFit="1"/>
    </xf>
    <xf numFmtId="0" fontId="21" fillId="0" borderId="0" xfId="0" applyFont="1" applyAlignment="1">
      <alignment vertical="top" wrapText="1"/>
    </xf>
    <xf numFmtId="0" fontId="0" fillId="3" borderId="1" xfId="0" applyFill="1" applyBorder="1"/>
    <xf numFmtId="0" fontId="24" fillId="0" borderId="0" xfId="0" applyFont="1" applyAlignment="1">
      <alignment horizontal="right" vertical="center" wrapText="1"/>
    </xf>
    <xf numFmtId="0" fontId="9" fillId="0" borderId="0" xfId="0" applyFont="1" applyAlignment="1">
      <alignment shrinkToFit="1"/>
    </xf>
    <xf numFmtId="0" fontId="9" fillId="0" borderId="0" xfId="0" applyFont="1"/>
    <xf numFmtId="0" fontId="0" fillId="0" borderId="12" xfId="0" applyBorder="1" applyAlignment="1">
      <alignment horizontal="center"/>
    </xf>
    <xf numFmtId="0" fontId="8" fillId="0" borderId="12" xfId="0" applyFont="1" applyBorder="1" applyAlignment="1">
      <alignment horizontal="center" vertical="center" shrinkToFit="1"/>
    </xf>
    <xf numFmtId="14" fontId="0" fillId="0" borderId="10" xfId="0" applyNumberFormat="1" applyBorder="1" applyAlignment="1">
      <alignment horizontal="center" vertical="center"/>
    </xf>
    <xf numFmtId="0" fontId="9" fillId="0" borderId="12" xfId="0" quotePrefix="1" applyFont="1" applyBorder="1" applyAlignment="1">
      <alignment horizontal="center"/>
    </xf>
    <xf numFmtId="0" fontId="10" fillId="0" borderId="46" xfId="0" applyFont="1" applyBorder="1" applyAlignment="1">
      <alignment horizontal="center"/>
    </xf>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Alignment="1">
      <alignment horizontal="right"/>
    </xf>
    <xf numFmtId="0" fontId="9" fillId="0" borderId="12" xfId="0" applyFont="1" applyBorder="1" applyAlignment="1">
      <alignment horizontal="center"/>
    </xf>
    <xf numFmtId="0" fontId="26" fillId="0" borderId="12" xfId="0" applyFont="1" applyBorder="1" applyAlignment="1">
      <alignment horizontal="center" vertical="center" shrinkToFit="1"/>
    </xf>
    <xf numFmtId="0" fontId="10" fillId="0" borderId="0" xfId="0" applyFont="1" applyAlignment="1">
      <alignment horizontal="right"/>
    </xf>
    <xf numFmtId="0" fontId="9" fillId="0" borderId="12" xfId="0" applyFont="1" applyBorder="1"/>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Border="1" applyAlignment="1">
      <alignment vertical="center"/>
    </xf>
    <xf numFmtId="14" fontId="9" fillId="0" borderId="10" xfId="0" applyNumberFormat="1" applyFont="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Border="1" applyAlignment="1">
      <alignment vertical="center"/>
    </xf>
    <xf numFmtId="0" fontId="25" fillId="0" borderId="1" xfId="0" applyFont="1" applyBorder="1" applyAlignment="1">
      <alignment vertical="center"/>
    </xf>
    <xf numFmtId="0" fontId="26" fillId="0" borderId="58" xfId="0" applyFont="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Alignment="1">
      <alignment horizontal="right" vertical="center"/>
    </xf>
    <xf numFmtId="0" fontId="9" fillId="2" borderId="0" xfId="0" applyFont="1" applyFill="1" applyAlignment="1">
      <alignment horizontal="center" vertical="center"/>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Border="1" applyAlignment="1">
      <alignment vertical="center"/>
    </xf>
    <xf numFmtId="0" fontId="23" fillId="0" borderId="48" xfId="0" applyFont="1" applyBorder="1" applyAlignment="1">
      <alignment vertical="center"/>
    </xf>
    <xf numFmtId="177" fontId="23" fillId="0" borderId="48" xfId="0" applyNumberFormat="1" applyFont="1" applyBorder="1" applyAlignment="1">
      <alignment horizontal="right" vertical="center"/>
    </xf>
    <xf numFmtId="0" fontId="23" fillId="0" borderId="49" xfId="0" applyFont="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2" fillId="0" borderId="59" xfId="0" applyFont="1" applyBorder="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Border="1" applyAlignment="1">
      <alignment horizontal="center" vertical="center"/>
    </xf>
    <xf numFmtId="0" fontId="9" fillId="0" borderId="60" xfId="0" applyFont="1" applyBorder="1" applyAlignment="1">
      <alignment vertical="center"/>
    </xf>
    <xf numFmtId="14" fontId="9" fillId="0" borderId="61" xfId="0" applyNumberFormat="1" applyFont="1" applyBorder="1" applyAlignment="1">
      <alignment horizontal="center" vertical="center"/>
    </xf>
    <xf numFmtId="0" fontId="21" fillId="0" borderId="5" xfId="0" applyFont="1" applyBorder="1" applyAlignment="1">
      <alignment vertical="top"/>
    </xf>
    <xf numFmtId="0" fontId="22" fillId="0" borderId="0" xfId="0" applyFont="1" applyAlignment="1">
      <alignment vertical="top"/>
    </xf>
    <xf numFmtId="0" fontId="21" fillId="0" borderId="0" xfId="0" applyFont="1"/>
    <xf numFmtId="177" fontId="10" fillId="0" borderId="1" xfId="0" applyNumberFormat="1" applyFont="1" applyBorder="1"/>
    <xf numFmtId="0" fontId="10" fillId="0" borderId="1" xfId="0" applyFont="1" applyBorder="1" applyAlignment="1">
      <alignment horizontal="center"/>
    </xf>
    <xf numFmtId="14" fontId="10" fillId="0" borderId="1" xfId="0" applyNumberFormat="1" applyFont="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14" fontId="18" fillId="0" borderId="6" xfId="0" applyNumberFormat="1" applyFont="1" applyBorder="1" applyAlignment="1">
      <alignment horizontal="right"/>
    </xf>
    <xf numFmtId="0" fontId="10" fillId="4" borderId="2" xfId="0" applyFont="1" applyFill="1" applyBorder="1"/>
    <xf numFmtId="0" fontId="10" fillId="4" borderId="4" xfId="0" applyFont="1" applyFill="1" applyBorder="1"/>
    <xf numFmtId="0" fontId="35" fillId="0" borderId="0" xfId="0" applyFont="1" applyAlignment="1">
      <alignment vertical="center"/>
    </xf>
    <xf numFmtId="0" fontId="36" fillId="0" borderId="0" xfId="0" applyFont="1" applyAlignment="1">
      <alignment vertical="center"/>
    </xf>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0" fillId="0" borderId="71"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Alignment="1">
      <alignment horizontal="center" vertical="center"/>
    </xf>
    <xf numFmtId="0" fontId="8" fillId="2" borderId="0" xfId="0" applyFont="1" applyFill="1" applyAlignment="1">
      <alignment horizontal="center" vertical="center"/>
    </xf>
    <xf numFmtId="0" fontId="0" fillId="2" borderId="71" xfId="0" applyFill="1" applyBorder="1" applyAlignment="1">
      <alignment vertical="center"/>
    </xf>
    <xf numFmtId="0" fontId="8" fillId="2" borderId="20" xfId="0" applyFont="1" applyFill="1" applyBorder="1" applyAlignment="1">
      <alignment horizontal="center" vertical="center"/>
    </xf>
    <xf numFmtId="0" fontId="0" fillId="2" borderId="0" xfId="0" applyFill="1" applyAlignment="1">
      <alignment horizontal="center" vertical="center" shrinkToFit="1"/>
    </xf>
    <xf numFmtId="178" fontId="0" fillId="2" borderId="0" xfId="0" applyNumberFormat="1" applyFill="1" applyAlignment="1">
      <alignment vertical="center" shrinkToFit="1"/>
    </xf>
    <xf numFmtId="178" fontId="0" fillId="2" borderId="20" xfId="0" applyNumberFormat="1" applyFill="1" applyBorder="1" applyAlignment="1">
      <alignment vertical="center" shrinkToFit="1"/>
    </xf>
    <xf numFmtId="0" fontId="0" fillId="2" borderId="72" xfId="0" applyFill="1" applyBorder="1" applyAlignment="1">
      <alignment vertical="center"/>
    </xf>
    <xf numFmtId="0" fontId="0" fillId="2" borderId="69" xfId="0" applyFill="1" applyBorder="1" applyAlignment="1">
      <alignment vertical="center"/>
    </xf>
    <xf numFmtId="0" fontId="0" fillId="0" borderId="73"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13" fillId="2" borderId="72" xfId="0" applyFont="1" applyFill="1" applyBorder="1" applyAlignment="1">
      <alignment vertical="center"/>
    </xf>
    <xf numFmtId="0" fontId="0" fillId="0" borderId="73" xfId="0" applyBorder="1" applyAlignment="1">
      <alignment horizontal="left" vertical="center" shrinkToFit="1"/>
    </xf>
    <xf numFmtId="0" fontId="0" fillId="0" borderId="78" xfId="0" applyBorder="1" applyAlignment="1">
      <alignment vertical="center"/>
    </xf>
    <xf numFmtId="0" fontId="0" fillId="0" borderId="79" xfId="0" applyBorder="1" applyAlignment="1">
      <alignment vertical="center"/>
    </xf>
    <xf numFmtId="0" fontId="0" fillId="0" borderId="80" xfId="0" applyBorder="1" applyAlignment="1">
      <alignment vertical="center"/>
    </xf>
    <xf numFmtId="0" fontId="0" fillId="2" borderId="81" xfId="0" applyFill="1" applyBorder="1" applyAlignment="1">
      <alignment vertical="center"/>
    </xf>
    <xf numFmtId="0" fontId="0" fillId="0" borderId="82" xfId="0" applyBorder="1" applyAlignment="1">
      <alignment horizontal="center" vertical="center" shrinkToFit="1"/>
    </xf>
    <xf numFmtId="0" fontId="0" fillId="0" borderId="82" xfId="0" applyBorder="1" applyAlignment="1">
      <alignment vertical="center"/>
    </xf>
    <xf numFmtId="0" fontId="38" fillId="0" borderId="6" xfId="0" applyFont="1" applyBorder="1" applyAlignment="1">
      <alignment horizontal="center" vertical="center"/>
    </xf>
    <xf numFmtId="0" fontId="9" fillId="0" borderId="0" xfId="0" applyFont="1" applyAlignment="1">
      <alignment horizontal="center" shrinkToFit="1"/>
    </xf>
    <xf numFmtId="0" fontId="24" fillId="0" borderId="0" xfId="0" applyFont="1" applyAlignment="1">
      <alignment horizontal="center" vertical="center" wrapText="1"/>
    </xf>
    <xf numFmtId="0" fontId="8" fillId="0" borderId="57" xfId="0" applyFont="1" applyBorder="1" applyAlignment="1">
      <alignment horizontal="center" vertical="center"/>
    </xf>
    <xf numFmtId="0" fontId="0" fillId="0" borderId="83" xfId="0" applyBorder="1" applyAlignment="1">
      <alignment vertical="center"/>
    </xf>
    <xf numFmtId="0" fontId="10" fillId="4" borderId="64" xfId="0" applyFont="1" applyFill="1" applyBorder="1"/>
    <xf numFmtId="0" fontId="10" fillId="4" borderId="65" xfId="0" applyFont="1" applyFill="1" applyBorder="1"/>
    <xf numFmtId="0" fontId="10" fillId="0" borderId="63" xfId="0" applyFont="1" applyBorder="1"/>
    <xf numFmtId="0" fontId="0" fillId="0" borderId="0" xfId="0" applyAlignment="1">
      <alignment horizontal="center" vertical="center" shrinkToFit="1"/>
    </xf>
    <xf numFmtId="0" fontId="18" fillId="0" borderId="0" xfId="0" applyFont="1" applyAlignment="1">
      <alignment vertical="center"/>
    </xf>
    <xf numFmtId="0" fontId="0" fillId="0" borderId="55" xfId="0" applyBorder="1" applyAlignment="1">
      <alignment horizontal="right"/>
    </xf>
    <xf numFmtId="49" fontId="9" fillId="0" borderId="84" xfId="0" quotePrefix="1" applyNumberFormat="1" applyFont="1" applyBorder="1" applyAlignment="1">
      <alignment horizontal="left"/>
    </xf>
    <xf numFmtId="0" fontId="0" fillId="0" borderId="55" xfId="0" applyBorder="1" applyAlignment="1">
      <alignment horizontal="center"/>
    </xf>
    <xf numFmtId="0" fontId="0" fillId="0" borderId="84" xfId="0" applyBorder="1"/>
    <xf numFmtId="0" fontId="0" fillId="0" borderId="84" xfId="0" applyBorder="1" applyAlignment="1">
      <alignment horizontal="center"/>
    </xf>
    <xf numFmtId="14" fontId="0" fillId="0" borderId="85" xfId="0" applyNumberFormat="1" applyBorder="1" applyAlignment="1">
      <alignment horizontal="center"/>
    </xf>
    <xf numFmtId="0" fontId="0" fillId="0" borderId="87" xfId="0" applyBorder="1" applyAlignment="1">
      <alignment horizontal="right"/>
    </xf>
    <xf numFmtId="0" fontId="0" fillId="0" borderId="88" xfId="0" applyBorder="1"/>
    <xf numFmtId="0" fontId="0" fillId="0" borderId="89" xfId="0" applyBorder="1"/>
    <xf numFmtId="0" fontId="0" fillId="0" borderId="84" xfId="0" applyBorder="1" applyAlignment="1">
      <alignment horizontal="center" shrinkToFit="1"/>
    </xf>
    <xf numFmtId="0" fontId="0" fillId="0" borderId="55" xfId="0" applyBorder="1" applyAlignment="1">
      <alignment horizontal="right" shrinkToFit="1"/>
    </xf>
    <xf numFmtId="14" fontId="0" fillId="0" borderId="84" xfId="0" applyNumberFormat="1" applyBorder="1" applyAlignment="1">
      <alignment horizontal="center"/>
    </xf>
    <xf numFmtId="14" fontId="0" fillId="0" borderId="55" xfId="0" applyNumberFormat="1" applyBorder="1" applyAlignment="1">
      <alignment horizontal="center"/>
    </xf>
    <xf numFmtId="0" fontId="18" fillId="0" borderId="87" xfId="0" applyFont="1" applyBorder="1" applyAlignment="1">
      <alignment vertical="center"/>
    </xf>
    <xf numFmtId="0" fontId="0" fillId="0" borderId="86" xfId="0" applyBorder="1" applyAlignment="1">
      <alignment horizontal="center" shrinkToFit="1"/>
    </xf>
    <xf numFmtId="0" fontId="37" fillId="0" borderId="61" xfId="0" applyFont="1" applyBorder="1" applyAlignment="1">
      <alignment horizontal="center" vertical="center"/>
    </xf>
    <xf numFmtId="0" fontId="38" fillId="0" borderId="42" xfId="0" applyFont="1" applyBorder="1" applyAlignment="1">
      <alignment horizontal="center" vertical="center"/>
    </xf>
    <xf numFmtId="0" fontId="10" fillId="0" borderId="87" xfId="0" applyFont="1" applyBorder="1"/>
    <xf numFmtId="0" fontId="2" fillId="0" borderId="87" xfId="0" applyFont="1" applyBorder="1" applyAlignment="1">
      <alignment horizontal="distributed" vertical="top"/>
    </xf>
    <xf numFmtId="0" fontId="2" fillId="0" borderId="85" xfId="0" applyFont="1" applyBorder="1" applyAlignment="1">
      <alignment horizontal="distributed" vertical="top"/>
    </xf>
    <xf numFmtId="0" fontId="10" fillId="0" borderId="55" xfId="0" applyFont="1" applyBorder="1" applyAlignment="1">
      <alignment horizontal="center" shrinkToFit="1"/>
    </xf>
    <xf numFmtId="0" fontId="10" fillId="0" borderId="84"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3" fillId="0" borderId="7" xfId="0" applyFont="1" applyBorder="1" applyAlignment="1">
      <alignment horizontal="center"/>
    </xf>
    <xf numFmtId="180" fontId="23" fillId="0" borderId="49" xfId="0" applyNumberFormat="1" applyFont="1" applyBorder="1" applyAlignment="1">
      <alignment horizontal="right"/>
    </xf>
    <xf numFmtId="180"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left" vertical="top" wrapText="1"/>
    </xf>
    <xf numFmtId="14" fontId="0" fillId="0" borderId="12" xfId="0" applyNumberFormat="1" applyBorder="1" applyAlignment="1">
      <alignment horizontal="center"/>
    </xf>
    <xf numFmtId="0" fontId="23" fillId="0" borderId="0" xfId="0" applyFont="1" applyAlignment="1">
      <alignment horizontal="left" vertical="center"/>
    </xf>
    <xf numFmtId="0" fontId="10" fillId="0" borderId="0" xfId="0" applyFont="1" applyAlignment="1">
      <alignment horizontal="center" vertical="center"/>
    </xf>
    <xf numFmtId="0" fontId="25" fillId="2" borderId="0" xfId="0" applyFont="1" applyFill="1" applyAlignment="1">
      <alignment horizontal="center" vertical="center" shrinkToFit="1"/>
    </xf>
    <xf numFmtId="0" fontId="39" fillId="0" borderId="0" xfId="0" applyFont="1" applyAlignment="1">
      <alignment vertical="top" wrapText="1"/>
    </xf>
    <xf numFmtId="0" fontId="39" fillId="0" borderId="0" xfId="0" applyFont="1"/>
    <xf numFmtId="0" fontId="39" fillId="0" borderId="0" xfId="0" applyFont="1" applyAlignment="1">
      <alignment vertical="top"/>
    </xf>
    <xf numFmtId="0" fontId="39" fillId="0" borderId="0" xfId="0" applyFont="1" applyAlignment="1">
      <alignment vertical="center"/>
    </xf>
    <xf numFmtId="49" fontId="0" fillId="0" borderId="12" xfId="0" applyNumberFormat="1" applyBorder="1" applyAlignment="1">
      <alignment horizontal="center"/>
    </xf>
    <xf numFmtId="0" fontId="40" fillId="0" borderId="58" xfId="0" applyFont="1" applyBorder="1" applyAlignment="1">
      <alignment horizontal="center" vertical="center" shrinkToFit="1"/>
    </xf>
    <xf numFmtId="14" fontId="0" fillId="2" borderId="61" xfId="0" applyNumberFormat="1" applyFill="1" applyBorder="1" applyAlignment="1">
      <alignment horizontal="center" vertical="center"/>
    </xf>
    <xf numFmtId="0" fontId="0" fillId="0" borderId="90" xfId="0" applyBorder="1"/>
    <xf numFmtId="0" fontId="10" fillId="0" borderId="0" xfId="0" applyFont="1" applyAlignment="1">
      <alignment vertical="center"/>
    </xf>
    <xf numFmtId="0" fontId="10" fillId="0" borderId="0" xfId="0" applyFont="1" applyAlignment="1">
      <alignment vertical="top"/>
    </xf>
    <xf numFmtId="178" fontId="23" fillId="0" borderId="0" xfId="0" applyNumberFormat="1" applyFont="1" applyAlignment="1">
      <alignment horizontal="left" vertical="center"/>
    </xf>
    <xf numFmtId="0" fontId="41" fillId="0" borderId="4" xfId="0" applyFont="1" applyBorder="1" applyAlignment="1">
      <alignment horizontal="center" vertical="center"/>
    </xf>
    <xf numFmtId="0" fontId="13" fillId="2" borderId="92" xfId="0" applyFont="1" applyFill="1" applyBorder="1" applyAlignment="1">
      <alignment horizontal="left" vertical="center"/>
    </xf>
    <xf numFmtId="178" fontId="0" fillId="2" borderId="8" xfId="0" applyNumberFormat="1" applyFill="1" applyBorder="1" applyAlignment="1">
      <alignment vertical="center" shrinkToFit="1"/>
    </xf>
    <xf numFmtId="0" fontId="0" fillId="0" borderId="93" xfId="0" applyBorder="1" applyAlignment="1">
      <alignment vertical="center"/>
    </xf>
    <xf numFmtId="0" fontId="0" fillId="0" borderId="94" xfId="0" applyBorder="1" applyAlignment="1">
      <alignment vertical="center"/>
    </xf>
    <xf numFmtId="0" fontId="38" fillId="0" borderId="95" xfId="0" applyFont="1" applyBorder="1" applyAlignment="1">
      <alignment horizontal="center" vertical="center"/>
    </xf>
    <xf numFmtId="0" fontId="42" fillId="0" borderId="0" xfId="0" applyFont="1" applyAlignment="1">
      <alignment vertical="center"/>
    </xf>
    <xf numFmtId="0" fontId="42" fillId="0" borderId="0" xfId="0" applyFont="1"/>
    <xf numFmtId="0" fontId="42" fillId="0" borderId="14" xfId="0" applyFont="1" applyBorder="1" applyAlignment="1">
      <alignment vertical="center"/>
    </xf>
    <xf numFmtId="0" fontId="42" fillId="0" borderId="10" xfId="0" applyFont="1" applyBorder="1" applyAlignment="1">
      <alignment horizontal="center" vertical="center" shrinkToFit="1"/>
    </xf>
    <xf numFmtId="0" fontId="42" fillId="0" borderId="73" xfId="0" applyFont="1" applyBorder="1" applyAlignment="1">
      <alignment vertical="center"/>
    </xf>
    <xf numFmtId="178" fontId="42" fillId="0" borderId="10" xfId="0" applyNumberFormat="1" applyFont="1" applyBorder="1" applyAlignment="1">
      <alignment vertical="center" shrinkToFit="1"/>
    </xf>
    <xf numFmtId="0" fontId="42" fillId="0" borderId="11" xfId="0" applyFont="1" applyBorder="1" applyAlignment="1">
      <alignment vertical="center"/>
    </xf>
    <xf numFmtId="0" fontId="42" fillId="0" borderId="60" xfId="0" applyFont="1" applyBorder="1" applyAlignment="1">
      <alignment vertical="center"/>
    </xf>
    <xf numFmtId="0" fontId="42" fillId="0" borderId="77" xfId="0" applyFont="1" applyBorder="1" applyAlignment="1">
      <alignment vertical="center"/>
    </xf>
    <xf numFmtId="0" fontId="42" fillId="0" borderId="66" xfId="0" applyFont="1" applyBorder="1" applyAlignment="1">
      <alignment vertical="center"/>
    </xf>
    <xf numFmtId="0" fontId="42" fillId="0" borderId="96" xfId="0" applyFont="1" applyBorder="1" applyAlignment="1">
      <alignment vertical="center"/>
    </xf>
    <xf numFmtId="0" fontId="42" fillId="0" borderId="74" xfId="0" applyFont="1" applyBorder="1" applyAlignment="1">
      <alignment vertical="center"/>
    </xf>
    <xf numFmtId="0" fontId="10" fillId="4" borderId="62" xfId="0" applyFont="1" applyFill="1" applyBorder="1"/>
    <xf numFmtId="0" fontId="10" fillId="4" borderId="1" xfId="0" applyFont="1" applyFill="1" applyBorder="1"/>
    <xf numFmtId="0" fontId="10" fillId="0" borderId="42" xfId="0" applyFont="1" applyBorder="1"/>
    <xf numFmtId="0" fontId="10" fillId="0" borderId="11" xfId="0" applyFont="1" applyBorder="1"/>
    <xf numFmtId="0" fontId="10" fillId="3" borderId="1" xfId="0" applyFont="1" applyFill="1" applyBorder="1"/>
    <xf numFmtId="0" fontId="0" fillId="0" borderId="61" xfId="0" applyBorder="1"/>
    <xf numFmtId="0" fontId="9" fillId="3" borderId="1" xfId="0" applyFont="1" applyFill="1" applyBorder="1"/>
    <xf numFmtId="0" fontId="10" fillId="0" borderId="102" xfId="0" applyFont="1" applyBorder="1"/>
    <xf numFmtId="0" fontId="21" fillId="0" borderId="102" xfId="0" applyFont="1" applyBorder="1"/>
    <xf numFmtId="0" fontId="42" fillId="0" borderId="103" xfId="0" applyFont="1" applyBorder="1"/>
    <xf numFmtId="0" fontId="0" fillId="0" borderId="103" xfId="0" applyBorder="1"/>
    <xf numFmtId="0" fontId="10" fillId="5" borderId="0" xfId="0" applyFont="1" applyFill="1"/>
    <xf numFmtId="0" fontId="10" fillId="0" borderId="14" xfId="0" applyFont="1" applyBorder="1" applyAlignment="1">
      <alignment vertical="center"/>
    </xf>
    <xf numFmtId="0" fontId="10" fillId="0" borderId="10" xfId="0" applyFont="1" applyBorder="1" applyAlignment="1">
      <alignment horizontal="center" vertical="center" shrinkToFit="1"/>
    </xf>
    <xf numFmtId="0" fontId="10" fillId="0" borderId="73" xfId="0" applyFont="1" applyBorder="1" applyAlignment="1">
      <alignment vertical="center"/>
    </xf>
    <xf numFmtId="178" fontId="10" fillId="0" borderId="10" xfId="0" applyNumberFormat="1" applyFont="1" applyBorder="1" applyAlignment="1">
      <alignment vertical="center" shrinkToFit="1"/>
    </xf>
    <xf numFmtId="0" fontId="10" fillId="0" borderId="11" xfId="0" applyFont="1" applyBorder="1" applyAlignment="1">
      <alignment vertical="center"/>
    </xf>
    <xf numFmtId="0" fontId="10" fillId="0" borderId="60" xfId="0" applyFont="1" applyBorder="1" applyAlignment="1">
      <alignment vertical="center"/>
    </xf>
    <xf numFmtId="0" fontId="10" fillId="0" borderId="77" xfId="0" applyFont="1" applyBorder="1" applyAlignment="1">
      <alignment vertical="center"/>
    </xf>
    <xf numFmtId="0" fontId="10" fillId="0" borderId="66" xfId="0" applyFont="1" applyBorder="1" applyAlignment="1">
      <alignment vertical="center"/>
    </xf>
    <xf numFmtId="0" fontId="10" fillId="0" borderId="96" xfId="0" applyFont="1" applyBorder="1" applyAlignment="1">
      <alignment vertical="center"/>
    </xf>
    <xf numFmtId="0" fontId="10" fillId="0" borderId="74" xfId="0" applyFont="1" applyBorder="1" applyAlignment="1">
      <alignment vertical="center"/>
    </xf>
    <xf numFmtId="0" fontId="9" fillId="0" borderId="90" xfId="0" applyFont="1" applyBorder="1"/>
    <xf numFmtId="14" fontId="9" fillId="0" borderId="0" xfId="0" applyNumberFormat="1" applyFont="1" applyAlignment="1">
      <alignment horizontal="center"/>
    </xf>
    <xf numFmtId="49" fontId="9" fillId="0" borderId="12" xfId="0" applyNumberFormat="1" applyFont="1" applyBorder="1" applyAlignment="1">
      <alignment horizontal="center"/>
    </xf>
    <xf numFmtId="0" fontId="9" fillId="0" borderId="55" xfId="0" applyFont="1" applyBorder="1" applyAlignment="1">
      <alignment horizontal="right"/>
    </xf>
    <xf numFmtId="0" fontId="9" fillId="0" borderId="55" xfId="0" applyFont="1" applyBorder="1" applyAlignment="1">
      <alignment horizontal="center"/>
    </xf>
    <xf numFmtId="0" fontId="9" fillId="0" borderId="84" xfId="0" applyFont="1" applyBorder="1"/>
    <xf numFmtId="0" fontId="9" fillId="0" borderId="84" xfId="0" applyFont="1" applyBorder="1" applyAlignment="1">
      <alignment horizontal="center"/>
    </xf>
    <xf numFmtId="0" fontId="9" fillId="0" borderId="88" xfId="0" applyFont="1" applyBorder="1"/>
    <xf numFmtId="0" fontId="9" fillId="0" borderId="87" xfId="0" applyFont="1" applyBorder="1" applyAlignment="1">
      <alignment horizontal="right"/>
    </xf>
    <xf numFmtId="0" fontId="25" fillId="0" borderId="0" xfId="0" applyFont="1" applyAlignment="1">
      <alignment vertical="center"/>
    </xf>
    <xf numFmtId="14" fontId="9" fillId="0" borderId="85" xfId="0" applyNumberFormat="1" applyFont="1" applyBorder="1" applyAlignment="1">
      <alignment horizontal="center"/>
    </xf>
    <xf numFmtId="0" fontId="9" fillId="0" borderId="84" xfId="0" applyFont="1" applyBorder="1" applyAlignment="1">
      <alignment horizontal="center" shrinkToFit="1"/>
    </xf>
    <xf numFmtId="0" fontId="9" fillId="0" borderId="55" xfId="0" applyFont="1" applyBorder="1" applyAlignment="1">
      <alignment horizontal="right" shrinkToFit="1"/>
    </xf>
    <xf numFmtId="14" fontId="9" fillId="0" borderId="84" xfId="0" applyNumberFormat="1" applyFont="1" applyBorder="1" applyAlignment="1">
      <alignment horizontal="center"/>
    </xf>
    <xf numFmtId="14" fontId="9" fillId="0" borderId="55" xfId="0" applyNumberFormat="1" applyFont="1" applyBorder="1" applyAlignment="1">
      <alignment horizontal="center"/>
    </xf>
    <xf numFmtId="0" fontId="25" fillId="0" borderId="87" xfId="0" applyFont="1" applyBorder="1" applyAlignment="1">
      <alignment vertical="center"/>
    </xf>
    <xf numFmtId="0" fontId="9" fillId="0" borderId="89" xfId="0" applyFont="1" applyBorder="1"/>
    <xf numFmtId="0" fontId="9" fillId="0" borderId="86" xfId="0" applyFont="1" applyBorder="1" applyAlignment="1">
      <alignment horizontal="center" shrinkToFit="1"/>
    </xf>
    <xf numFmtId="0" fontId="9" fillId="0" borderId="0" xfId="0" applyFont="1" applyAlignment="1">
      <alignment horizontal="center" vertical="center" shrinkToFit="1"/>
    </xf>
    <xf numFmtId="0" fontId="9" fillId="0" borderId="83" xfId="0" applyFont="1" applyBorder="1" applyAlignment="1">
      <alignment vertical="center"/>
    </xf>
    <xf numFmtId="0" fontId="9" fillId="0" borderId="90" xfId="0" applyFont="1" applyBorder="1" applyAlignment="1">
      <alignment vertical="center"/>
    </xf>
    <xf numFmtId="0" fontId="26" fillId="0" borderId="57" xfId="0" applyFont="1" applyBorder="1" applyAlignment="1">
      <alignment horizontal="center" vertical="center"/>
    </xf>
    <xf numFmtId="0" fontId="44" fillId="0" borderId="58" xfId="0" applyFont="1" applyBorder="1" applyAlignment="1">
      <alignment horizontal="center" vertical="center" shrinkToFit="1"/>
    </xf>
    <xf numFmtId="178" fontId="9" fillId="0" borderId="10" xfId="0" applyNumberFormat="1" applyFont="1" applyBorder="1" applyAlignment="1">
      <alignment vertical="center" shrinkToFit="1"/>
    </xf>
    <xf numFmtId="0" fontId="9" fillId="0" borderId="82" xfId="0" applyFont="1" applyBorder="1" applyAlignment="1">
      <alignment horizontal="center" vertical="center" shrinkToFit="1"/>
    </xf>
    <xf numFmtId="0" fontId="9" fillId="0" borderId="82" xfId="0" applyFont="1" applyBorder="1" applyAlignment="1">
      <alignment vertical="center"/>
    </xf>
    <xf numFmtId="0" fontId="9" fillId="2" borderId="72" xfId="0" applyFont="1" applyFill="1" applyBorder="1" applyAlignment="1">
      <alignment vertical="center"/>
    </xf>
    <xf numFmtId="0" fontId="9" fillId="2" borderId="69" xfId="0" applyFont="1" applyFill="1" applyBorder="1" applyAlignment="1">
      <alignment vertical="center"/>
    </xf>
    <xf numFmtId="0" fontId="9" fillId="0" borderId="73" xfId="0" applyFont="1" applyBorder="1" applyAlignment="1">
      <alignment vertical="center"/>
    </xf>
    <xf numFmtId="14" fontId="9" fillId="2" borderId="0" xfId="0" applyNumberFormat="1" applyFont="1" applyFill="1" applyAlignment="1">
      <alignment horizontal="center" vertical="center"/>
    </xf>
    <xf numFmtId="0" fontId="9" fillId="0" borderId="75" xfId="0" applyFont="1" applyBorder="1" applyAlignment="1">
      <alignment vertical="center"/>
    </xf>
    <xf numFmtId="0" fontId="26" fillId="2" borderId="0" xfId="0" applyFont="1" applyFill="1" applyAlignment="1">
      <alignment horizontal="center" vertical="center"/>
    </xf>
    <xf numFmtId="0" fontId="9" fillId="2" borderId="81" xfId="0" applyFont="1" applyFill="1" applyBorder="1" applyAlignment="1">
      <alignment vertical="center"/>
    </xf>
    <xf numFmtId="0" fontId="9" fillId="2" borderId="71" xfId="0" applyFont="1" applyFill="1" applyBorder="1" applyAlignment="1">
      <alignment vertical="center"/>
    </xf>
    <xf numFmtId="0" fontId="26" fillId="2" borderId="20" xfId="0" applyFont="1" applyFill="1" applyBorder="1" applyAlignment="1">
      <alignment horizontal="center" vertical="center"/>
    </xf>
    <xf numFmtId="0" fontId="9" fillId="2" borderId="34" xfId="0" applyFont="1" applyFill="1" applyBorder="1" applyAlignment="1">
      <alignment vertical="center"/>
    </xf>
    <xf numFmtId="0" fontId="2" fillId="2" borderId="20" xfId="0" applyFont="1" applyFill="1" applyBorder="1" applyAlignment="1">
      <alignment horizontal="right" vertical="center"/>
    </xf>
    <xf numFmtId="0" fontId="23" fillId="0" borderId="20" xfId="0" applyFont="1" applyBorder="1" applyAlignment="1">
      <alignment horizontal="right" vertical="top"/>
    </xf>
    <xf numFmtId="0" fontId="9" fillId="0" borderId="90" xfId="0" applyFont="1" applyBorder="1" applyAlignment="1">
      <alignment vertical="top"/>
    </xf>
    <xf numFmtId="0" fontId="23" fillId="2" borderId="0" xfId="0" applyFont="1" applyFill="1" applyAlignment="1">
      <alignment horizontal="right" vertical="center"/>
    </xf>
    <xf numFmtId="0" fontId="9" fillId="2" borderId="0" xfId="0" applyFont="1" applyFill="1" applyAlignment="1">
      <alignment horizontal="center" vertical="center" shrinkToFit="1"/>
    </xf>
    <xf numFmtId="178" fontId="9" fillId="2" borderId="0" xfId="0" applyNumberFormat="1" applyFont="1" applyFill="1" applyAlignment="1">
      <alignment vertical="center" shrinkToFit="1"/>
    </xf>
    <xf numFmtId="178" fontId="23" fillId="0" borderId="66" xfId="0" applyNumberFormat="1" applyFont="1" applyBorder="1" applyAlignment="1">
      <alignment horizontal="left" vertical="center"/>
    </xf>
    <xf numFmtId="0" fontId="9" fillId="0" borderId="77" xfId="0" applyFont="1" applyBorder="1" applyAlignment="1">
      <alignment vertical="center"/>
    </xf>
    <xf numFmtId="0" fontId="9" fillId="0" borderId="76" xfId="0" applyFont="1" applyBorder="1" applyAlignment="1">
      <alignment vertical="center"/>
    </xf>
    <xf numFmtId="0" fontId="9" fillId="0" borderId="78"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9" fillId="0" borderId="71" xfId="0" applyFont="1" applyBorder="1" applyAlignment="1">
      <alignment vertical="center"/>
    </xf>
    <xf numFmtId="178" fontId="9" fillId="2" borderId="20" xfId="0" applyNumberFormat="1" applyFont="1" applyFill="1" applyBorder="1" applyAlignment="1">
      <alignment vertical="center" shrinkToFit="1"/>
    </xf>
    <xf numFmtId="0" fontId="23" fillId="0" borderId="20" xfId="0" applyFont="1" applyBorder="1" applyAlignment="1">
      <alignment horizontal="right" vertical="center"/>
    </xf>
    <xf numFmtId="0" fontId="29" fillId="2" borderId="30" xfId="0" applyFont="1" applyFill="1" applyBorder="1" applyAlignment="1">
      <alignment vertical="center"/>
    </xf>
    <xf numFmtId="0" fontId="29" fillId="2" borderId="72" xfId="0" applyFont="1" applyFill="1" applyBorder="1" applyAlignment="1">
      <alignment vertical="center"/>
    </xf>
    <xf numFmtId="0" fontId="29" fillId="2" borderId="56" xfId="0" applyFont="1" applyFill="1" applyBorder="1" applyAlignment="1">
      <alignment vertical="center"/>
    </xf>
    <xf numFmtId="0" fontId="29" fillId="2" borderId="92" xfId="0" applyFont="1" applyFill="1" applyBorder="1" applyAlignment="1">
      <alignment horizontal="left" vertical="center"/>
    </xf>
    <xf numFmtId="0" fontId="9" fillId="0" borderId="66" xfId="0" applyFont="1" applyBorder="1" applyAlignment="1">
      <alignment vertical="center"/>
    </xf>
    <xf numFmtId="178" fontId="9" fillId="2" borderId="8" xfId="0" applyNumberFormat="1" applyFont="1" applyFill="1" applyBorder="1" applyAlignment="1">
      <alignment vertical="center" shrinkToFit="1"/>
    </xf>
    <xf numFmtId="0" fontId="9" fillId="0" borderId="68" xfId="0" applyFont="1" applyBorder="1" applyAlignment="1">
      <alignment vertical="center"/>
    </xf>
    <xf numFmtId="0" fontId="41" fillId="0" borderId="61" xfId="0" applyFont="1" applyBorder="1" applyAlignment="1">
      <alignment horizontal="center" vertical="center"/>
    </xf>
    <xf numFmtId="0" fontId="45" fillId="0" borderId="42" xfId="0" applyFont="1" applyBorder="1" applyAlignment="1">
      <alignment horizontal="center" vertical="center"/>
    </xf>
    <xf numFmtId="0" fontId="45" fillId="0" borderId="6" xfId="0" applyFont="1" applyBorder="1" applyAlignment="1">
      <alignment horizontal="center" vertical="center"/>
    </xf>
    <xf numFmtId="0" fontId="10" fillId="0" borderId="10" xfId="0" applyFont="1" applyBorder="1" applyAlignment="1">
      <alignment horizontal="center" vertical="center"/>
    </xf>
    <xf numFmtId="0" fontId="45" fillId="0" borderId="95" xfId="0" applyFont="1" applyBorder="1" applyAlignment="1">
      <alignment horizontal="center" vertical="center"/>
    </xf>
    <xf numFmtId="0" fontId="9" fillId="0" borderId="94" xfId="0" applyFont="1" applyBorder="1" applyAlignment="1">
      <alignment vertical="center"/>
    </xf>
    <xf numFmtId="0" fontId="9" fillId="0" borderId="73" xfId="0" applyFont="1" applyBorder="1" applyAlignment="1">
      <alignment horizontal="left" vertical="center" shrinkToFit="1"/>
    </xf>
    <xf numFmtId="0" fontId="9" fillId="2" borderId="20" xfId="0" applyFont="1" applyFill="1" applyBorder="1" applyAlignment="1">
      <alignment horizontal="center" vertical="center"/>
    </xf>
    <xf numFmtId="0" fontId="39" fillId="0" borderId="107" xfId="0" applyFont="1" applyBorder="1" applyAlignment="1">
      <alignment vertical="top" wrapText="1"/>
    </xf>
    <xf numFmtId="38" fontId="10" fillId="0" borderId="1" xfId="1" applyFont="1" applyBorder="1" applyAlignment="1"/>
    <xf numFmtId="38" fontId="10" fillId="0" borderId="1" xfId="1" applyFont="1" applyFill="1" applyBorder="1" applyAlignment="1"/>
    <xf numFmtId="0" fontId="10" fillId="0" borderId="61" xfId="0" applyFont="1" applyBorder="1"/>
    <xf numFmtId="0" fontId="10" fillId="0" borderId="10" xfId="0" applyFont="1" applyBorder="1"/>
    <xf numFmtId="0" fontId="10" fillId="4" borderId="97" xfId="0" applyFont="1" applyFill="1" applyBorder="1"/>
    <xf numFmtId="0" fontId="10" fillId="4" borderId="98" xfId="0" applyFont="1" applyFill="1" applyBorder="1"/>
    <xf numFmtId="0" fontId="10" fillId="4" borderId="99" xfId="0" applyFont="1" applyFill="1" applyBorder="1"/>
    <xf numFmtId="38" fontId="10" fillId="0" borderId="99" xfId="1" applyFont="1" applyBorder="1" applyAlignment="1"/>
    <xf numFmtId="38" fontId="10" fillId="0" borderId="98" xfId="1" applyFont="1" applyBorder="1" applyAlignment="1"/>
    <xf numFmtId="38" fontId="10" fillId="0" borderId="1" xfId="0" applyNumberFormat="1" applyFont="1" applyBorder="1"/>
    <xf numFmtId="38" fontId="10" fillId="0" borderId="0" xfId="1" applyFont="1" applyBorder="1" applyAlignment="1"/>
    <xf numFmtId="0" fontId="10" fillId="4" borderId="100" xfId="0" applyFont="1" applyFill="1" applyBorder="1"/>
    <xf numFmtId="0" fontId="10" fillId="4" borderId="101" xfId="0" applyFont="1" applyFill="1" applyBorder="1"/>
    <xf numFmtId="38" fontId="10" fillId="0" borderId="101" xfId="1" applyFont="1" applyBorder="1" applyAlignment="1"/>
    <xf numFmtId="0" fontId="10" fillId="0" borderId="86" xfId="0" applyFont="1" applyBorder="1"/>
    <xf numFmtId="0" fontId="23" fillId="0" borderId="47" xfId="0" applyFont="1" applyBorder="1"/>
    <xf numFmtId="180" fontId="23" fillId="0" borderId="48" xfId="0" applyNumberFormat="1" applyFont="1" applyBorder="1" applyAlignment="1">
      <alignment horizontal="right"/>
    </xf>
    <xf numFmtId="180" fontId="23" fillId="0" borderId="48" xfId="0" applyNumberFormat="1" applyFont="1" applyBorder="1"/>
    <xf numFmtId="0" fontId="23" fillId="0" borderId="6" xfId="0" applyFont="1" applyBorder="1"/>
    <xf numFmtId="0" fontId="23" fillId="0" borderId="47" xfId="0" applyFont="1" applyBorder="1" applyAlignment="1">
      <alignment horizontal="center" vertical="center"/>
    </xf>
    <xf numFmtId="0" fontId="23" fillId="0" borderId="59" xfId="0" applyFont="1" applyBorder="1" applyAlignment="1">
      <alignment horizontal="right"/>
    </xf>
    <xf numFmtId="180" fontId="23" fillId="0" borderId="8" xfId="0" applyNumberFormat="1" applyFont="1" applyBorder="1" applyAlignment="1">
      <alignment horizontal="right" vertical="center"/>
    </xf>
    <xf numFmtId="180" fontId="23" fillId="0" borderId="8" xfId="0" applyNumberFormat="1" applyFont="1" applyBorder="1" applyAlignment="1">
      <alignment vertical="center"/>
    </xf>
    <xf numFmtId="0" fontId="23" fillId="0" borderId="9" xfId="0" applyFont="1" applyBorder="1" applyAlignment="1">
      <alignment vertical="center"/>
    </xf>
    <xf numFmtId="0" fontId="23" fillId="0" borderId="6" xfId="0" applyFont="1" applyBorder="1" applyAlignment="1">
      <alignment vertical="center"/>
    </xf>
    <xf numFmtId="177" fontId="23" fillId="0" borderId="0" xfId="0" applyNumberFormat="1" applyFont="1" applyAlignment="1">
      <alignment horizontal="right" vertical="center"/>
    </xf>
    <xf numFmtId="0" fontId="23" fillId="0" borderId="11" xfId="0" applyFont="1" applyBorder="1" applyAlignment="1">
      <alignment vertical="center"/>
    </xf>
    <xf numFmtId="180" fontId="23" fillId="0" borderId="60" xfId="0" applyNumberFormat="1" applyFont="1" applyBorder="1" applyAlignment="1">
      <alignment horizontal="right" vertical="center"/>
    </xf>
    <xf numFmtId="180" fontId="23" fillId="0" borderId="60" xfId="0" applyNumberFormat="1" applyFont="1" applyBorder="1" applyAlignment="1">
      <alignment vertical="center"/>
    </xf>
    <xf numFmtId="0" fontId="23" fillId="0" borderId="59" xfId="0" applyFont="1" applyBorder="1" applyAlignment="1">
      <alignment vertical="center"/>
    </xf>
    <xf numFmtId="0" fontId="10" fillId="0" borderId="3" xfId="0" applyFont="1" applyBorder="1"/>
    <xf numFmtId="0" fontId="46" fillId="0" borderId="0" xfId="0" applyFont="1" applyAlignment="1">
      <alignment horizontal="center" vertical="center"/>
    </xf>
    <xf numFmtId="0" fontId="23" fillId="0" borderId="8" xfId="0" applyFont="1" applyBorder="1" applyAlignment="1">
      <alignment horizontal="right" vertical="center"/>
    </xf>
    <xf numFmtId="0" fontId="10" fillId="0" borderId="90" xfId="0" applyFont="1" applyBorder="1"/>
    <xf numFmtId="0" fontId="10" fillId="0" borderId="91" xfId="0" applyFont="1" applyBorder="1"/>
    <xf numFmtId="0" fontId="46" fillId="0" borderId="103" xfId="0" applyFont="1" applyBorder="1" applyAlignment="1">
      <alignment horizontal="center" vertical="center"/>
    </xf>
    <xf numFmtId="0" fontId="23" fillId="0" borderId="102" xfId="0" applyFont="1" applyBorder="1" applyAlignment="1">
      <alignment vertical="center"/>
    </xf>
    <xf numFmtId="180" fontId="23" fillId="0" borderId="102" xfId="0" applyNumberFormat="1" applyFont="1" applyBorder="1" applyAlignment="1">
      <alignment horizontal="right" vertical="center"/>
    </xf>
    <xf numFmtId="180" fontId="23" fillId="0" borderId="102" xfId="0" applyNumberFormat="1" applyFont="1" applyBorder="1" applyAlignment="1">
      <alignment vertical="center"/>
    </xf>
    <xf numFmtId="177" fontId="23" fillId="0" borderId="102" xfId="0" applyNumberFormat="1" applyFont="1" applyBorder="1" applyAlignment="1">
      <alignment horizontal="right" vertical="center"/>
    </xf>
    <xf numFmtId="0" fontId="23" fillId="0" borderId="102" xfId="0" applyFont="1" applyBorder="1"/>
    <xf numFmtId="0" fontId="46" fillId="0" borderId="104" xfId="0" applyFont="1" applyBorder="1" applyAlignment="1">
      <alignment horizontal="center" vertical="center"/>
    </xf>
    <xf numFmtId="0" fontId="10" fillId="0" borderId="103" xfId="0" applyFont="1" applyBorder="1"/>
    <xf numFmtId="38" fontId="10" fillId="3" borderId="1" xfId="1" applyFont="1" applyFill="1" applyBorder="1" applyAlignment="1"/>
    <xf numFmtId="0" fontId="0" fillId="0" borderId="12" xfId="0" applyBorder="1" applyAlignment="1">
      <alignment horizontal="center" shrinkToFit="1"/>
    </xf>
    <xf numFmtId="0" fontId="9" fillId="0" borderId="12" xfId="0" applyFont="1" applyBorder="1" applyAlignment="1">
      <alignment horizontal="center" shrinkToFit="1"/>
    </xf>
    <xf numFmtId="0" fontId="0" fillId="0" borderId="0" xfId="0" applyAlignment="1">
      <alignment horizontal="center"/>
    </xf>
    <xf numFmtId="0" fontId="0" fillId="0" borderId="0" xfId="0" applyAlignment="1">
      <alignment horizontal="left" vertical="top" wrapText="1"/>
    </xf>
    <xf numFmtId="179" fontId="8" fillId="0" borderId="0" xfId="0" applyNumberFormat="1" applyFont="1" applyAlignment="1">
      <alignment horizontal="right" vertical="top"/>
    </xf>
    <xf numFmtId="0" fontId="0" fillId="2" borderId="11" xfId="0" applyFill="1" applyBorder="1" applyAlignment="1">
      <alignment horizontal="left" vertical="center"/>
    </xf>
    <xf numFmtId="0" fontId="0" fillId="2" borderId="60" xfId="0" applyFill="1" applyBorder="1" applyAlignment="1">
      <alignment horizontal="left" vertical="center"/>
    </xf>
    <xf numFmtId="0" fontId="0" fillId="0" borderId="11" xfId="0" applyBorder="1" applyAlignment="1">
      <alignment horizontal="left" vertical="center" shrinkToFit="1"/>
    </xf>
    <xf numFmtId="0" fontId="0" fillId="0" borderId="60" xfId="0" applyBorder="1" applyAlignment="1">
      <alignment horizontal="left" vertical="center" shrinkToFit="1"/>
    </xf>
    <xf numFmtId="14" fontId="0" fillId="0" borderId="12" xfId="0" applyNumberFormat="1" applyBorder="1" applyAlignment="1">
      <alignment horizontal="center"/>
    </xf>
    <xf numFmtId="0" fontId="18" fillId="0" borderId="0" xfId="0" applyFont="1" applyAlignment="1">
      <alignment horizontal="center" vertical="top"/>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87" xfId="0" applyFont="1" applyBorder="1" applyAlignment="1">
      <alignment horizontal="center" shrinkToFit="1"/>
    </xf>
    <xf numFmtId="0" fontId="10" fillId="0" borderId="85" xfId="0" applyFont="1" applyBorder="1" applyAlignment="1">
      <alignment horizontal="center" shrinkToFit="1"/>
    </xf>
    <xf numFmtId="0" fontId="0" fillId="0" borderId="0" xfId="0" applyAlignment="1">
      <alignment horizontal="right"/>
    </xf>
    <xf numFmtId="0" fontId="0" fillId="0" borderId="87" xfId="0" applyBorder="1" applyAlignment="1">
      <alignment horizontal="right" shrinkToFit="1"/>
    </xf>
    <xf numFmtId="0" fontId="8" fillId="0" borderId="12" xfId="0" applyFont="1" applyBorder="1" applyAlignment="1">
      <alignment horizontal="center" vertical="center" shrinkToFit="1"/>
    </xf>
    <xf numFmtId="49" fontId="9" fillId="0" borderId="12" xfId="0" quotePrefix="1" applyNumberFormat="1" applyFont="1" applyBorder="1" applyAlignment="1">
      <alignment horizontal="center"/>
    </xf>
    <xf numFmtId="0" fontId="8"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0" fillId="0" borderId="0" xfId="0" applyFont="1" applyAlignment="1">
      <alignment horizontal="center" shrinkToFit="1"/>
    </xf>
    <xf numFmtId="0" fontId="0" fillId="0" borderId="74" xfId="0" applyBorder="1" applyAlignment="1">
      <alignment horizontal="left"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60"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26" fillId="2" borderId="0" xfId="0" applyFont="1" applyFill="1" applyAlignment="1">
      <alignment horizontal="center" vertical="center" shrinkToFit="1"/>
    </xf>
    <xf numFmtId="0" fontId="26" fillId="2" borderId="25" xfId="0" applyFont="1" applyFill="1" applyBorder="1" applyAlignment="1">
      <alignment horizontal="center" vertical="center" shrinkToFit="1"/>
    </xf>
    <xf numFmtId="0" fontId="42" fillId="0" borderId="11" xfId="0" applyFont="1" applyBorder="1" applyAlignment="1">
      <alignment horizontal="left" vertical="center" shrinkToFit="1"/>
    </xf>
    <xf numFmtId="0" fontId="42" fillId="0" borderId="60" xfId="0" applyFont="1" applyBorder="1" applyAlignment="1">
      <alignment horizontal="left" vertical="center" shrinkToFit="1"/>
    </xf>
    <xf numFmtId="0" fontId="42" fillId="0" borderId="74" xfId="0" applyFont="1" applyBorder="1" applyAlignment="1">
      <alignment horizontal="left" vertical="center" shrinkToFit="1"/>
    </xf>
    <xf numFmtId="0" fontId="10" fillId="0" borderId="0" xfId="0" applyFont="1" applyAlignment="1">
      <alignment horizontal="center"/>
    </xf>
    <xf numFmtId="0" fontId="42" fillId="0" borderId="11" xfId="0" applyFont="1" applyBorder="1" applyAlignment="1">
      <alignment horizontal="left" vertical="center"/>
    </xf>
    <xf numFmtId="0" fontId="42" fillId="0" borderId="60" xfId="0" applyFont="1" applyBorder="1" applyAlignment="1">
      <alignment horizontal="left" vertical="center"/>
    </xf>
    <xf numFmtId="0" fontId="42" fillId="0" borderId="74" xfId="0" applyFont="1" applyBorder="1" applyAlignment="1">
      <alignment horizontal="left" vertical="center"/>
    </xf>
    <xf numFmtId="0" fontId="23" fillId="0" borderId="11" xfId="0" applyFont="1" applyBorder="1" applyAlignment="1">
      <alignment horizontal="center"/>
    </xf>
    <xf numFmtId="0" fontId="23" fillId="0" borderId="60" xfId="0" applyFont="1" applyBorder="1" applyAlignment="1">
      <alignment horizontal="center"/>
    </xf>
    <xf numFmtId="0" fontId="34" fillId="2" borderId="15" xfId="0" applyFont="1" applyFill="1" applyBorder="1" applyAlignment="1">
      <alignment horizontal="center" vertical="center" shrinkToFit="1"/>
    </xf>
    <xf numFmtId="0" fontId="39" fillId="0" borderId="0" xfId="0" applyFont="1" applyAlignment="1">
      <alignment horizontal="left" vertical="top" wrapText="1"/>
    </xf>
    <xf numFmtId="0" fontId="39" fillId="0" borderId="66" xfId="0" applyFont="1" applyBorder="1" applyAlignment="1">
      <alignment horizontal="left" vertical="top" wrapText="1"/>
    </xf>
    <xf numFmtId="0" fontId="9" fillId="0" borderId="11" xfId="0" applyFont="1" applyBorder="1" applyAlignment="1">
      <alignment horizontal="left" vertical="center" shrinkToFit="1"/>
    </xf>
    <xf numFmtId="0" fontId="9" fillId="0" borderId="60" xfId="0" applyFont="1" applyBorder="1" applyAlignment="1">
      <alignment horizontal="left" vertical="center" shrinkToFit="1"/>
    </xf>
    <xf numFmtId="0" fontId="9" fillId="0" borderId="67"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0" xfId="0" applyFont="1" applyAlignment="1">
      <alignment horizontal="center"/>
    </xf>
    <xf numFmtId="0" fontId="9" fillId="0" borderId="5" xfId="0" applyFont="1" applyBorder="1" applyAlignment="1">
      <alignment horizontal="left" vertical="center"/>
    </xf>
    <xf numFmtId="0" fontId="9" fillId="0" borderId="0" xfId="0" applyFont="1" applyAlignment="1">
      <alignment horizontal="left" vertical="center"/>
    </xf>
    <xf numFmtId="0" fontId="26" fillId="0" borderId="1" xfId="0" applyFont="1" applyBorder="1" applyAlignment="1">
      <alignment horizontal="left" vertical="center" shrinkToFit="1"/>
    </xf>
    <xf numFmtId="0" fontId="34" fillId="0" borderId="1" xfId="0" applyFont="1" applyBorder="1" applyAlignment="1">
      <alignment horizontal="left" vertical="center" shrinkToFit="1"/>
    </xf>
    <xf numFmtId="0" fontId="9" fillId="0" borderId="74"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0" xfId="0" applyFont="1" applyBorder="1" applyAlignment="1">
      <alignment horizontal="left" vertical="center"/>
    </xf>
    <xf numFmtId="0" fontId="9" fillId="0" borderId="11" xfId="0" applyFont="1" applyBorder="1" applyAlignment="1">
      <alignment horizontal="left" vertical="center"/>
    </xf>
    <xf numFmtId="0" fontId="9" fillId="0" borderId="60" xfId="0" applyFont="1" applyBorder="1" applyAlignment="1">
      <alignment horizontal="left" vertical="center"/>
    </xf>
    <xf numFmtId="0" fontId="10" fillId="0" borderId="11" xfId="0" applyFont="1" applyBorder="1" applyAlignment="1">
      <alignment horizontal="left" vertical="center" shrinkToFit="1"/>
    </xf>
    <xf numFmtId="0" fontId="10" fillId="0" borderId="60" xfId="0" applyFont="1" applyBorder="1" applyAlignment="1">
      <alignment horizontal="left" vertical="center" shrinkToFit="1"/>
    </xf>
    <xf numFmtId="0" fontId="10" fillId="0" borderId="74"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right"/>
    </xf>
    <xf numFmtId="0" fontId="26" fillId="0" borderId="12" xfId="0" applyFont="1" applyBorder="1" applyAlignment="1">
      <alignment horizontal="center" vertical="center" shrinkToFit="1"/>
    </xf>
    <xf numFmtId="49" fontId="9" fillId="0" borderId="12" xfId="0" applyNumberFormat="1" applyFont="1" applyBorder="1" applyAlignment="1">
      <alignment horizontal="center"/>
    </xf>
    <xf numFmtId="0" fontId="9" fillId="0" borderId="87" xfId="0" applyFont="1" applyBorder="1" applyAlignment="1">
      <alignment horizontal="right" shrinkToFit="1"/>
    </xf>
    <xf numFmtId="14" fontId="9" fillId="0" borderId="12" xfId="0" applyNumberFormat="1" applyFont="1" applyBorder="1" applyAlignment="1">
      <alignment horizontal="center"/>
    </xf>
    <xf numFmtId="0" fontId="25" fillId="0" borderId="0" xfId="0" applyFont="1" applyAlignment="1">
      <alignment horizontal="center" vertical="top"/>
    </xf>
    <xf numFmtId="179" fontId="26" fillId="0" borderId="0" xfId="0" applyNumberFormat="1" applyFont="1" applyAlignment="1">
      <alignment horizontal="right" vertical="top"/>
    </xf>
    <xf numFmtId="179" fontId="26" fillId="0" borderId="90" xfId="0" applyNumberFormat="1" applyFont="1" applyBorder="1" applyAlignment="1">
      <alignment horizontal="right" vertical="top"/>
    </xf>
    <xf numFmtId="0" fontId="9" fillId="0" borderId="0" xfId="0" applyFont="1" applyAlignment="1">
      <alignment horizontal="left" vertical="top" wrapText="1"/>
    </xf>
    <xf numFmtId="0" fontId="10" fillId="0" borderId="11" xfId="0" applyFont="1" applyBorder="1" applyAlignment="1">
      <alignment horizontal="left" vertical="center"/>
    </xf>
    <xf numFmtId="0" fontId="10" fillId="0" borderId="60" xfId="0" applyFont="1" applyBorder="1" applyAlignment="1">
      <alignment horizontal="left" vertical="center"/>
    </xf>
    <xf numFmtId="0" fontId="10" fillId="0" borderId="74" xfId="0" applyFont="1" applyBorder="1" applyAlignment="1">
      <alignment horizontal="left" vertical="center"/>
    </xf>
    <xf numFmtId="0" fontId="39" fillId="0" borderId="105" xfId="0" applyFont="1" applyBorder="1" applyAlignment="1">
      <alignment horizontal="left" vertical="top"/>
    </xf>
    <xf numFmtId="0" fontId="39" fillId="0" borderId="106" xfId="0" applyFont="1" applyBorder="1" applyAlignment="1">
      <alignment horizontal="left" vertical="top"/>
    </xf>
    <xf numFmtId="0" fontId="39" fillId="0" borderId="107" xfId="0" applyFont="1" applyBorder="1" applyAlignment="1">
      <alignment horizontal="left" vertical="top" wrapText="1"/>
    </xf>
    <xf numFmtId="0" fontId="21" fillId="0" borderId="5" xfId="0" applyFont="1" applyBorder="1" applyAlignment="1">
      <alignment horizontal="left" vertical="top" wrapText="1"/>
    </xf>
    <xf numFmtId="0" fontId="21" fillId="0" borderId="0" xfId="0" applyFont="1" applyAlignment="1">
      <alignment horizontal="left" vertical="top" wrapText="1"/>
    </xf>
    <xf numFmtId="0" fontId="9" fillId="0" borderId="0" xfId="0" applyFont="1" applyAlignment="1">
      <alignment horizontal="right" shrinkToFit="1"/>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0" xfId="0" applyFont="1" applyAlignment="1">
      <alignment horizontal="left" vertical="top"/>
    </xf>
    <xf numFmtId="0" fontId="21" fillId="0" borderId="5" xfId="0" applyFont="1" applyBorder="1" applyAlignment="1">
      <alignment horizontal="left" vertical="top"/>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Alignment="1">
      <alignment horizontal="left" vertical="top" wrapText="1"/>
    </xf>
  </cellXfs>
  <cellStyles count="2">
    <cellStyle name="桁区切り" xfId="1" builtinId="6"/>
    <cellStyle name="標準" xfId="0" builtinId="0"/>
  </cellStyles>
  <dxfs count="159">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u val="none"/>
      </font>
      <border>
        <bottom style="thin">
          <color auto="1"/>
        </bottom>
      </border>
    </dxf>
    <dxf>
      <border>
        <left style="hair">
          <color auto="1"/>
        </left>
        <vertical/>
        <horizontal/>
      </border>
    </dxf>
    <dxf>
      <border>
        <right style="dotted">
          <color auto="1"/>
        </right>
        <vertical/>
        <horizontal/>
      </border>
    </dxf>
    <dxf>
      <border>
        <bottom/>
        <vertical/>
        <horizontal/>
      </border>
    </dxf>
    <dxf>
      <border>
        <bottom/>
        <vertical/>
        <horizontal/>
      </border>
    </dxf>
    <dxf>
      <border>
        <bottom/>
        <vertical/>
        <horizontal/>
      </border>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style="hair">
          <color auto="1"/>
        </left>
        <vertical/>
        <horizontal/>
      </border>
    </dxf>
    <dxf>
      <font>
        <color theme="0" tint="-4.9989318521683403E-2"/>
      </font>
      <fill>
        <patternFill>
          <bgColor theme="0" tint="-4.9989318521683403E-2"/>
        </patternFill>
      </fill>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left/>
        <right/>
        <top/>
        <bottom/>
        <vertical/>
        <horizontal/>
      </border>
    </dxf>
    <dxf>
      <border>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s>
  <tableStyles count="0" defaultTableStyle="TableStyleMedium2" defaultPivotStyle="PivotStyleMedium9"/>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96231</xdr:colOff>
      <xdr:row>20</xdr:row>
      <xdr:rowOff>15533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136523</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13</xdr:col>
      <xdr:colOff>142875</xdr:colOff>
      <xdr:row>0</xdr:row>
      <xdr:rowOff>0</xdr:rowOff>
    </xdr:from>
    <xdr:to>
      <xdr:col>14</xdr:col>
      <xdr:colOff>58862</xdr:colOff>
      <xdr:row>3</xdr:row>
      <xdr:rowOff>22667</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38875" y="0"/>
          <a:ext cx="447482" cy="4474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97154</xdr:colOff>
      <xdr:row>22</xdr:row>
      <xdr:rowOff>137158</xdr:rowOff>
    </xdr:from>
    <xdr:to>
      <xdr:col>12</xdr:col>
      <xdr:colOff>99059</xdr:colOff>
      <xdr:row>55</xdr:row>
      <xdr:rowOff>53340</xdr:rowOff>
    </xdr:to>
    <xdr:sp macro="" textlink="">
      <xdr:nvSpPr>
        <xdr:cNvPr id="2" name="テキスト ボックス 1">
          <a:extLst>
            <a:ext uri="{FF2B5EF4-FFF2-40B4-BE49-F238E27FC236}">
              <a16:creationId xmlns:a16="http://schemas.microsoft.com/office/drawing/2014/main" id="{ECDFC0BE-A2B3-4861-8790-62072C9C8928}"/>
            </a:ext>
          </a:extLst>
        </xdr:cNvPr>
        <xdr:cNvSpPr txBox="1"/>
      </xdr:nvSpPr>
      <xdr:spPr>
        <a:xfrm>
          <a:off x="3190874" y="3878578"/>
          <a:ext cx="8566785" cy="5478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（更新メモ）</a:t>
          </a:r>
        </a:p>
        <a:p>
          <a:r>
            <a:rPr kumimoji="1" lang="ja-JP" altLang="en-US" sz="1050">
              <a:solidFill>
                <a:srgbClr val="FF0000"/>
              </a:solidFill>
            </a:rPr>
            <a:t>特定親族関係の計算を行うシートを新規追加</a:t>
          </a:r>
        </a:p>
        <a:p>
          <a:r>
            <a:rPr kumimoji="1" lang="en-US" altLang="ja-JP" sz="1050">
              <a:solidFill>
                <a:srgbClr val="FF0000"/>
              </a:solidFill>
            </a:rPr>
            <a:t>【</a:t>
          </a:r>
          <a:r>
            <a:rPr kumimoji="1" lang="ja-JP" altLang="en-US" sz="1050">
              <a:solidFill>
                <a:srgbClr val="FF0000"/>
              </a:solidFill>
            </a:rPr>
            <a:t>生計維持者欄</a:t>
          </a:r>
          <a:r>
            <a:rPr kumimoji="1" lang="en-US" altLang="ja-JP" sz="1050">
              <a:solidFill>
                <a:srgbClr val="FF0000"/>
              </a:solidFill>
            </a:rPr>
            <a:t>】</a:t>
          </a:r>
          <a:endParaRPr kumimoji="1" lang="ja-JP" altLang="en-US" sz="1050">
            <a:solidFill>
              <a:srgbClr val="FF0000"/>
            </a:solidFill>
          </a:endParaRPr>
        </a:p>
        <a:p>
          <a:r>
            <a:rPr kumimoji="1" lang="ja-JP" altLang="en-US" sz="1050">
              <a:solidFill>
                <a:srgbClr val="FF0000"/>
              </a:solidFill>
            </a:rPr>
            <a:t>・存在フラグ</a:t>
          </a:r>
        </a:p>
        <a:p>
          <a:r>
            <a:rPr kumimoji="1" lang="ja-JP" altLang="en-US" sz="1050">
              <a:solidFill>
                <a:srgbClr val="FF0000"/>
              </a:solidFill>
            </a:rPr>
            <a:t>　下で計算している特定親族をカウントして良いかを管理。税制改正前の申込だったり、入力欄が消えている場合</a:t>
          </a:r>
          <a:r>
            <a:rPr kumimoji="1" lang="en-US" altLang="ja-JP" sz="1050">
              <a:solidFill>
                <a:srgbClr val="FF0000"/>
              </a:solidFill>
            </a:rPr>
            <a:t>(</a:t>
          </a:r>
          <a:r>
            <a:rPr kumimoji="1" lang="ja-JP" altLang="en-US" sz="1050">
              <a:solidFill>
                <a:srgbClr val="FF0000"/>
              </a:solidFill>
            </a:rPr>
            <a:t>特定親族</a:t>
          </a:r>
          <a:r>
            <a:rPr kumimoji="1" lang="en-US" altLang="ja-JP" sz="1050">
              <a:solidFill>
                <a:srgbClr val="FF0000"/>
              </a:solidFill>
            </a:rPr>
            <a:t>3</a:t>
          </a:r>
          <a:r>
            <a:rPr kumimoji="1" lang="ja-JP" altLang="en-US" sz="1050">
              <a:solidFill>
                <a:srgbClr val="FF0000"/>
              </a:solidFill>
            </a:rPr>
            <a:t>人と入力しているときの</a:t>
          </a:r>
          <a:r>
            <a:rPr kumimoji="1" lang="en-US" altLang="ja-JP" sz="1050">
              <a:solidFill>
                <a:srgbClr val="FF0000"/>
              </a:solidFill>
            </a:rPr>
            <a:t>4</a:t>
          </a:r>
          <a:r>
            <a:rPr kumimoji="1" lang="ja-JP" altLang="en-US" sz="1050">
              <a:solidFill>
                <a:srgbClr val="FF0000"/>
              </a:solidFill>
            </a:rPr>
            <a:t>人目以降など</a:t>
          </a:r>
          <a:r>
            <a:rPr kumimoji="1" lang="en-US" altLang="ja-JP" sz="1050">
              <a:solidFill>
                <a:srgbClr val="FF0000"/>
              </a:solidFill>
            </a:rPr>
            <a:t>)</a:t>
          </a:r>
          <a:r>
            <a:rPr kumimoji="1" lang="ja-JP" altLang="en-US" sz="1050">
              <a:solidFill>
                <a:srgbClr val="FF0000"/>
              </a:solidFill>
            </a:rPr>
            <a:t>は</a:t>
          </a:r>
          <a:r>
            <a:rPr kumimoji="1" lang="en-US" altLang="ja-JP" sz="1050">
              <a:solidFill>
                <a:srgbClr val="FF0000"/>
              </a:solidFill>
            </a:rPr>
            <a:t>0</a:t>
          </a:r>
          <a:r>
            <a:rPr kumimoji="1" lang="ja-JP" altLang="en-US" sz="1050">
              <a:solidFill>
                <a:srgbClr val="FF0000"/>
              </a:solidFill>
            </a:rPr>
            <a:t>になり、以降の数値が入力されていたとしても、結果に影響しないようになっている</a:t>
          </a:r>
        </a:p>
        <a:p>
          <a:r>
            <a:rPr kumimoji="1" lang="ja-JP" altLang="en-US" sz="1050">
              <a:solidFill>
                <a:srgbClr val="FF0000"/>
              </a:solidFill>
            </a:rPr>
            <a:t>・実は扶養親族フラグ</a:t>
          </a:r>
        </a:p>
        <a:p>
          <a:r>
            <a:rPr kumimoji="1" lang="ja-JP" altLang="en-US" sz="1050">
              <a:solidFill>
                <a:srgbClr val="FF0000"/>
              </a:solidFill>
            </a:rPr>
            <a:t>　所得を計算した結果、特定親族ではなく扶養親族であった場合に</a:t>
          </a:r>
          <a:r>
            <a:rPr kumimoji="1" lang="en-US" altLang="ja-JP" sz="1050">
              <a:solidFill>
                <a:srgbClr val="FF0000"/>
              </a:solidFill>
            </a:rPr>
            <a:t>1</a:t>
          </a:r>
          <a:r>
            <a:rPr kumimoji="1" lang="ja-JP" altLang="en-US" sz="1050">
              <a:solidFill>
                <a:srgbClr val="FF0000"/>
              </a:solidFill>
            </a:rPr>
            <a:t>になる。特定扶養親族として計上し、計算シートに返す</a:t>
          </a:r>
        </a:p>
        <a:p>
          <a:r>
            <a:rPr kumimoji="1" lang="ja-JP" altLang="en-US" sz="1050">
              <a:solidFill>
                <a:srgbClr val="FF0000"/>
              </a:solidFill>
            </a:rPr>
            <a:t>・多子こどもフラグ</a:t>
          </a:r>
        </a:p>
        <a:p>
          <a:r>
            <a:rPr kumimoji="1" lang="ja-JP" altLang="en-US" sz="1050">
              <a:solidFill>
                <a:srgbClr val="FF0000"/>
              </a:solidFill>
            </a:rPr>
            <a:t>　特定親族のうち、子どもカウントされる年収</a:t>
          </a:r>
          <a:r>
            <a:rPr kumimoji="1" lang="en-US" altLang="ja-JP" sz="1050">
              <a:solidFill>
                <a:srgbClr val="FF0000"/>
              </a:solidFill>
            </a:rPr>
            <a:t>160</a:t>
          </a:r>
          <a:r>
            <a:rPr kumimoji="1" lang="ja-JP" altLang="en-US" sz="1050">
              <a:solidFill>
                <a:srgbClr val="FF0000"/>
              </a:solidFill>
            </a:rPr>
            <a:t>万円以下の者である場合に</a:t>
          </a:r>
          <a:r>
            <a:rPr kumimoji="1" lang="en-US" altLang="ja-JP" sz="1050">
              <a:solidFill>
                <a:srgbClr val="FF0000"/>
              </a:solidFill>
            </a:rPr>
            <a:t>1</a:t>
          </a:r>
          <a:r>
            <a:rPr kumimoji="1" lang="ja-JP" altLang="en-US" sz="1050">
              <a:solidFill>
                <a:srgbClr val="FF0000"/>
              </a:solidFill>
            </a:rPr>
            <a:t>になる。特定扶養親族の場合は</a:t>
          </a:r>
          <a:r>
            <a:rPr kumimoji="1" lang="en-US" altLang="ja-JP" sz="1050">
              <a:solidFill>
                <a:srgbClr val="FF0000"/>
              </a:solidFill>
            </a:rPr>
            <a:t>0</a:t>
          </a:r>
          <a:r>
            <a:rPr kumimoji="1" lang="ja-JP" altLang="en-US" sz="1050">
              <a:solidFill>
                <a:srgbClr val="FF0000"/>
              </a:solidFill>
            </a:rPr>
            <a:t>になるため、「実は扶養親族フラグ」と同時に</a:t>
          </a:r>
          <a:r>
            <a:rPr kumimoji="1" lang="en-US" altLang="ja-JP" sz="1050">
              <a:solidFill>
                <a:srgbClr val="FF0000"/>
              </a:solidFill>
            </a:rPr>
            <a:t>1</a:t>
          </a:r>
          <a:r>
            <a:rPr kumimoji="1" lang="ja-JP" altLang="en-US" sz="1050">
              <a:solidFill>
                <a:srgbClr val="FF0000"/>
              </a:solidFill>
            </a:rPr>
            <a:t>になることは無い。</a:t>
          </a:r>
        </a:p>
        <a:p>
          <a:r>
            <a:rPr kumimoji="1" lang="ja-JP" altLang="en-US" sz="1050">
              <a:solidFill>
                <a:srgbClr val="FF0000"/>
              </a:solidFill>
            </a:rPr>
            <a:t>・特特控除額</a:t>
          </a:r>
        </a:p>
        <a:p>
          <a:r>
            <a:rPr kumimoji="1" lang="ja-JP" altLang="en-US" sz="1050">
              <a:solidFill>
                <a:srgbClr val="FF0000"/>
              </a:solidFill>
            </a:rPr>
            <a:t>　特定親族特別控除の額。「存在しない」「存在するけど実は扶養親族」のときは</a:t>
          </a:r>
          <a:r>
            <a:rPr kumimoji="1" lang="en-US" altLang="ja-JP" sz="1050">
              <a:solidFill>
                <a:srgbClr val="FF0000"/>
              </a:solidFill>
            </a:rPr>
            <a:t>0</a:t>
          </a:r>
          <a:r>
            <a:rPr kumimoji="1" lang="ja-JP" altLang="en-US" sz="1050">
              <a:solidFill>
                <a:srgbClr val="FF0000"/>
              </a:solidFill>
            </a:rPr>
            <a:t>になるようにしている</a:t>
          </a:r>
        </a:p>
        <a:p>
          <a:endParaRPr kumimoji="1" lang="ja-JP" altLang="en-US" sz="105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本人</a:t>
          </a:r>
          <a:r>
            <a:rPr kumimoji="1" lang="ja-JP" altLang="ja-JP" sz="1100">
              <a:solidFill>
                <a:srgbClr val="FF0000"/>
              </a:solidFill>
              <a:effectLst/>
              <a:latin typeface="+mn-lt"/>
              <a:ea typeface="+mn-ea"/>
              <a:cs typeface="+mn-cs"/>
            </a:rPr>
            <a:t>欄</a:t>
          </a:r>
          <a:r>
            <a:rPr kumimoji="1" lang="en-US" altLang="ja-JP" sz="1100">
              <a:solidFill>
                <a:srgbClr val="FF0000"/>
              </a:solidFill>
              <a:effectLst/>
              <a:latin typeface="+mn-lt"/>
              <a:ea typeface="+mn-ea"/>
              <a:cs typeface="+mn-cs"/>
            </a:rPr>
            <a:t>】</a:t>
          </a:r>
          <a:endParaRPr kumimoji="1" lang="ja-JP" altLang="en-US" sz="1050">
            <a:solidFill>
              <a:srgbClr val="FF0000"/>
            </a:solidFill>
          </a:endParaRPr>
        </a:p>
        <a:p>
          <a:r>
            <a:rPr kumimoji="1" lang="ja-JP" altLang="en-US" sz="1050">
              <a:solidFill>
                <a:srgbClr val="FF0000"/>
              </a:solidFill>
            </a:rPr>
            <a:t>・計算上の扶養者</a:t>
          </a:r>
        </a:p>
        <a:p>
          <a:r>
            <a:rPr kumimoji="1" lang="ja-JP" altLang="en-US" sz="1050">
              <a:solidFill>
                <a:srgbClr val="FF0000"/>
              </a:solidFill>
            </a:rPr>
            <a:t>　本人をどちらが扶養しているかは申告書シートで回答させているが、特定親族相当の収入がある場合「扶養していない」を選ぶことになるため、その場合に算定基準額が高い方の生計維持者に寄せる処理をしている。ただし、</a:t>
          </a:r>
          <a:r>
            <a:rPr kumimoji="1" lang="en-US" altLang="ja-JP" sz="1050">
              <a:solidFill>
                <a:srgbClr val="FF0000"/>
              </a:solidFill>
            </a:rPr>
            <a:t>(</a:t>
          </a:r>
          <a:r>
            <a:rPr kumimoji="1" lang="ja-JP" altLang="en-US" sz="1050">
              <a:solidFill>
                <a:srgbClr val="FF0000"/>
              </a:solidFill>
            </a:rPr>
            <a:t>本来は誤申告だが</a:t>
          </a:r>
          <a:r>
            <a:rPr kumimoji="1" lang="en-US" altLang="ja-JP" sz="1050">
              <a:solidFill>
                <a:srgbClr val="FF0000"/>
              </a:solidFill>
            </a:rPr>
            <a:t>)</a:t>
          </a:r>
          <a:r>
            <a:rPr kumimoji="1" lang="ja-JP" altLang="en-US" sz="1050">
              <a:solidFill>
                <a:srgbClr val="FF0000"/>
              </a:solidFill>
            </a:rPr>
            <a:t>どちらかの生計維持者を選択していた場合は、その選択を優先する</a:t>
          </a:r>
        </a:p>
        <a:p>
          <a:r>
            <a:rPr kumimoji="1" lang="ja-JP" altLang="en-US" sz="1050">
              <a:solidFill>
                <a:srgbClr val="FF0000"/>
              </a:solidFill>
            </a:rPr>
            <a:t>・特定親族フラグ</a:t>
          </a:r>
        </a:p>
        <a:p>
          <a:r>
            <a:rPr kumimoji="1" lang="ja-JP" altLang="en-US" sz="1050">
              <a:solidFill>
                <a:srgbClr val="FF0000"/>
              </a:solidFill>
            </a:rPr>
            <a:t>　年齢と合計所得金額から、特定親族であるかを確認している。なお、本人が特定扶養親族の場合は計算シート側の「申込者本人該当区分：扶養控除（特定）」でチェックしているため、「実は扶養親族フラグ」は不要</a:t>
          </a:r>
        </a:p>
        <a:p>
          <a:r>
            <a:rPr kumimoji="1" lang="ja-JP" altLang="en-US" sz="1050">
              <a:solidFill>
                <a:srgbClr val="FF0000"/>
              </a:solidFill>
            </a:rPr>
            <a:t>・多子こどもフラグ</a:t>
          </a:r>
        </a:p>
        <a:p>
          <a:r>
            <a:rPr kumimoji="1" lang="ja-JP" altLang="en-US" sz="1050">
              <a:solidFill>
                <a:srgbClr val="FF0000"/>
              </a:solidFill>
            </a:rPr>
            <a:t>　特定親族か、早生まれ特定親族かのときで、年収</a:t>
          </a:r>
          <a:r>
            <a:rPr kumimoji="1" lang="en-US" altLang="ja-JP" sz="1050">
              <a:solidFill>
                <a:srgbClr val="FF0000"/>
              </a:solidFill>
            </a:rPr>
            <a:t>160</a:t>
          </a:r>
          <a:r>
            <a:rPr kumimoji="1" lang="ja-JP" altLang="en-US" sz="1050">
              <a:solidFill>
                <a:srgbClr val="FF0000"/>
              </a:solidFill>
            </a:rPr>
            <a:t>万円以下であれば</a:t>
          </a:r>
          <a:r>
            <a:rPr kumimoji="1" lang="en-US" altLang="ja-JP" sz="1050">
              <a:solidFill>
                <a:srgbClr val="FF0000"/>
              </a:solidFill>
            </a:rPr>
            <a:t>1</a:t>
          </a:r>
          <a:r>
            <a:rPr kumimoji="1" lang="ja-JP" altLang="en-US" sz="1050">
              <a:solidFill>
                <a:srgbClr val="FF0000"/>
              </a:solidFill>
            </a:rPr>
            <a:t>になる</a:t>
          </a:r>
        </a:p>
        <a:p>
          <a:r>
            <a:rPr kumimoji="1" lang="ja-JP" altLang="en-US" sz="1050">
              <a:solidFill>
                <a:srgbClr val="FF0000"/>
              </a:solidFill>
            </a:rPr>
            <a:t>・早生まれ特定親族</a:t>
          </a:r>
        </a:p>
        <a:p>
          <a:r>
            <a:rPr kumimoji="1" lang="ja-JP" altLang="en-US" sz="1050">
              <a:solidFill>
                <a:srgbClr val="FF0000"/>
              </a:solidFill>
            </a:rPr>
            <a:t>　早生まれで、合計所得金額が特定親族の範囲に入っているか。年齢が重ならないので、特定親族フラグと同時に</a:t>
          </a:r>
          <a:r>
            <a:rPr kumimoji="1" lang="en-US" altLang="ja-JP" sz="1050">
              <a:solidFill>
                <a:srgbClr val="FF0000"/>
              </a:solidFill>
            </a:rPr>
            <a:t>1</a:t>
          </a:r>
          <a:r>
            <a:rPr kumimoji="1" lang="ja-JP" altLang="en-US" sz="1050">
              <a:solidFill>
                <a:srgbClr val="FF0000"/>
              </a:solidFill>
            </a:rPr>
            <a:t>になることは無い</a:t>
          </a:r>
          <a:endParaRPr kumimoji="1" lang="en-US" altLang="ja-JP" sz="1050">
            <a:solidFill>
              <a:srgbClr val="FF0000"/>
            </a:solidFill>
          </a:endParaRPr>
        </a:p>
        <a:p>
          <a:endParaRPr kumimoji="1" lang="en-US" altLang="ja-JP" sz="1050">
            <a:solidFill>
              <a:srgbClr val="FF0000"/>
            </a:solidFill>
          </a:endParaRPr>
        </a:p>
        <a:p>
          <a:r>
            <a:rPr kumimoji="1" lang="en-US" altLang="ja-JP" sz="1050">
              <a:solidFill>
                <a:srgbClr val="0000FF"/>
              </a:solidFill>
            </a:rPr>
            <a:t>20260427</a:t>
          </a:r>
          <a:r>
            <a:rPr kumimoji="1" lang="ja-JP" altLang="en-US" sz="1050">
              <a:solidFill>
                <a:srgbClr val="0000FF"/>
              </a:solidFill>
            </a:rPr>
            <a:t>追記</a:t>
          </a:r>
        </a:p>
        <a:p>
          <a:r>
            <a:rPr kumimoji="1" lang="ja-JP" altLang="en-US" sz="1050">
              <a:solidFill>
                <a:srgbClr val="0000FF"/>
              </a:solidFill>
            </a:rPr>
            <a:t>早生まれ特定親族特別控除は階段部分を算入せず、年収</a:t>
          </a:r>
          <a:r>
            <a:rPr kumimoji="1" lang="en-US" altLang="ja-JP" sz="1050">
              <a:solidFill>
                <a:srgbClr val="0000FF"/>
              </a:solidFill>
            </a:rPr>
            <a:t>160</a:t>
          </a:r>
          <a:r>
            <a:rPr kumimoji="1" lang="ja-JP" altLang="en-US" sz="1050">
              <a:solidFill>
                <a:srgbClr val="0000FF"/>
              </a:solidFill>
            </a:rPr>
            <a:t>万円以下</a:t>
          </a:r>
          <a:r>
            <a:rPr kumimoji="1" lang="en-US" altLang="ja-JP" sz="1050">
              <a:solidFill>
                <a:srgbClr val="0000FF"/>
              </a:solidFill>
            </a:rPr>
            <a:t>(</a:t>
          </a:r>
          <a:r>
            <a:rPr kumimoji="1" lang="ja-JP" altLang="en-US" sz="1050">
              <a:solidFill>
                <a:srgbClr val="0000FF"/>
              </a:solidFill>
            </a:rPr>
            <a:t>所得</a:t>
          </a:r>
          <a:r>
            <a:rPr kumimoji="1" lang="en-US" altLang="ja-JP" sz="1050">
              <a:solidFill>
                <a:srgbClr val="0000FF"/>
              </a:solidFill>
            </a:rPr>
            <a:t>95</a:t>
          </a:r>
          <a:r>
            <a:rPr kumimoji="1" lang="ja-JP" altLang="en-US" sz="1050">
              <a:solidFill>
                <a:srgbClr val="0000FF"/>
              </a:solidFill>
            </a:rPr>
            <a:t>万円以下</a:t>
          </a:r>
          <a:r>
            <a:rPr kumimoji="1" lang="en-US" altLang="ja-JP" sz="1050">
              <a:solidFill>
                <a:srgbClr val="0000FF"/>
              </a:solidFill>
            </a:rPr>
            <a:t>)</a:t>
          </a:r>
          <a:r>
            <a:rPr kumimoji="1" lang="ja-JP" altLang="en-US" sz="1050">
              <a:solidFill>
                <a:srgbClr val="0000FF"/>
              </a:solidFill>
            </a:rPr>
            <a:t>に限定する方針とのこと。</a:t>
          </a:r>
        </a:p>
        <a:p>
          <a:r>
            <a:rPr kumimoji="1" lang="ja-JP" altLang="en-US" sz="1050">
              <a:solidFill>
                <a:srgbClr val="0000FF"/>
              </a:solidFill>
            </a:rPr>
            <a:t>これによる修正を</a:t>
          </a:r>
          <a:r>
            <a:rPr kumimoji="1" lang="en-US" altLang="ja-JP" sz="1050">
              <a:solidFill>
                <a:srgbClr val="0000FF"/>
              </a:solidFill>
            </a:rPr>
            <a:t>B32</a:t>
          </a:r>
          <a:r>
            <a:rPr kumimoji="1" lang="ja-JP" altLang="en-US" sz="1050">
              <a:solidFill>
                <a:srgbClr val="0000FF"/>
              </a:solidFill>
            </a:rPr>
            <a:t>と</a:t>
          </a:r>
          <a:r>
            <a:rPr kumimoji="1" lang="en-US" altLang="ja-JP" sz="1050">
              <a:solidFill>
                <a:srgbClr val="0000FF"/>
              </a:solidFill>
            </a:rPr>
            <a:t>B33</a:t>
          </a:r>
          <a:r>
            <a:rPr kumimoji="1" lang="ja-JP" altLang="en-US" sz="1050">
              <a:solidFill>
                <a:srgbClr val="0000FF"/>
              </a:solidFill>
            </a:rPr>
            <a:t>に行った。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3"/>
  <sheetViews>
    <sheetView tabSelected="1" view="pageBreakPreview" zoomScaleNormal="100" zoomScaleSheetLayoutView="100" workbookViewId="0">
      <selection sqref="A1:O1"/>
    </sheetView>
  </sheetViews>
  <sheetFormatPr defaultRowHeight="13.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s>
  <sheetData>
    <row r="1" spans="1:17">
      <c r="A1" s="559" t="s">
        <v>325</v>
      </c>
      <c r="B1" s="559"/>
      <c r="C1" s="559"/>
      <c r="D1" s="559"/>
      <c r="E1" s="559"/>
      <c r="F1" s="559"/>
      <c r="G1" s="559"/>
      <c r="H1" s="559"/>
      <c r="I1" s="559"/>
      <c r="J1" s="559"/>
      <c r="K1" s="559"/>
      <c r="L1" s="559"/>
      <c r="M1" s="559"/>
      <c r="N1" s="559"/>
      <c r="O1" s="559"/>
    </row>
    <row r="2" spans="1:17" ht="6" customHeight="1">
      <c r="A2" s="55"/>
      <c r="B2" s="55"/>
      <c r="C2" s="55"/>
      <c r="D2" s="55"/>
      <c r="E2" s="55"/>
      <c r="F2" s="55"/>
      <c r="G2" s="55"/>
      <c r="H2" s="55"/>
      <c r="I2" s="55"/>
      <c r="J2" s="55"/>
      <c r="K2" s="55"/>
      <c r="L2" s="55"/>
      <c r="M2" s="55"/>
      <c r="N2" s="55"/>
      <c r="O2" s="561">
        <f>MAX(修正履歴!A:A)</f>
        <v>46086</v>
      </c>
      <c r="P2" s="561"/>
      <c r="Q2" s="561"/>
    </row>
    <row r="3" spans="1:17">
      <c r="A3" s="68" t="s">
        <v>242</v>
      </c>
      <c r="G3" s="55"/>
      <c r="H3" s="55"/>
      <c r="I3" s="55"/>
      <c r="J3" s="55"/>
      <c r="K3" s="55"/>
      <c r="L3" s="55"/>
      <c r="M3" s="55"/>
      <c r="N3" s="55"/>
      <c r="O3" s="561"/>
      <c r="P3" s="561"/>
      <c r="Q3" s="561"/>
    </row>
    <row r="4" spans="1:17" ht="6" customHeight="1">
      <c r="A4" s="55"/>
      <c r="B4" s="68"/>
      <c r="C4" s="68"/>
      <c r="D4" s="68"/>
      <c r="E4" s="68"/>
      <c r="F4" s="68"/>
      <c r="G4" s="55"/>
      <c r="H4" s="55"/>
      <c r="I4" s="55"/>
      <c r="J4" s="55"/>
      <c r="K4" s="55"/>
      <c r="L4" s="55"/>
      <c r="M4" s="55"/>
      <c r="N4" s="55"/>
      <c r="O4" s="55"/>
    </row>
    <row r="5" spans="1:17">
      <c r="A5" s="55"/>
      <c r="B5" s="560"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以下の者の申込等に際して、収入・所得等を提出すべき者のうちに１月１日時点で日本国外に居住している者がいるため、その収入・所得等の情報を申告します。</v>
      </c>
      <c r="C5" s="560"/>
      <c r="D5" s="560"/>
      <c r="E5" s="560"/>
      <c r="F5" s="560"/>
      <c r="G5" s="560"/>
      <c r="H5" s="560"/>
      <c r="I5" s="560"/>
      <c r="J5" s="560"/>
      <c r="K5" s="560"/>
      <c r="L5" s="560"/>
      <c r="M5" s="560"/>
      <c r="N5" s="560"/>
      <c r="O5" s="560"/>
    </row>
    <row r="6" spans="1:17">
      <c r="A6" s="55"/>
      <c r="B6" s="560"/>
      <c r="C6" s="560"/>
      <c r="D6" s="560"/>
      <c r="E6" s="560"/>
      <c r="F6" s="560"/>
      <c r="G6" s="560"/>
      <c r="H6" s="560"/>
      <c r="I6" s="560"/>
      <c r="J6" s="560"/>
      <c r="K6" s="560"/>
      <c r="L6" s="560"/>
      <c r="M6" s="560"/>
      <c r="N6" s="560"/>
      <c r="O6" s="560"/>
    </row>
    <row r="7" spans="1:17" ht="5.25" customHeight="1">
      <c r="A7" s="55"/>
      <c r="B7" s="55"/>
      <c r="C7" s="55"/>
      <c r="D7" s="55"/>
      <c r="E7" s="55"/>
      <c r="F7" s="55"/>
      <c r="G7" s="55"/>
      <c r="H7" s="55"/>
      <c r="J7" s="68"/>
      <c r="L7" s="128"/>
      <c r="M7" s="128"/>
      <c r="N7" s="128"/>
      <c r="O7" s="55"/>
    </row>
    <row r="8" spans="1:17" ht="13.8" thickBot="1">
      <c r="A8" s="55"/>
      <c r="B8" s="55"/>
      <c r="C8" s="55"/>
      <c r="D8" s="55"/>
      <c r="E8" s="55"/>
      <c r="F8" s="55"/>
      <c r="G8" s="55"/>
      <c r="H8" s="572" t="s">
        <v>331</v>
      </c>
      <c r="I8" s="572"/>
      <c r="J8" s="572"/>
      <c r="K8" s="572"/>
      <c r="L8" s="566"/>
      <c r="M8" s="566"/>
      <c r="N8" s="566"/>
      <c r="O8" s="55"/>
    </row>
    <row r="9" spans="1:17" ht="9.9" customHeight="1">
      <c r="A9" s="55"/>
      <c r="B9" s="55"/>
      <c r="C9" s="55"/>
      <c r="D9" s="55"/>
      <c r="E9" s="55"/>
      <c r="F9" s="55"/>
      <c r="G9" s="55"/>
      <c r="H9" s="55"/>
      <c r="L9" s="567" t="s">
        <v>768</v>
      </c>
      <c r="M9" s="567"/>
      <c r="N9" s="567"/>
      <c r="O9" s="55"/>
    </row>
    <row r="10" spans="1:17" ht="13.8" thickBot="1">
      <c r="A10" s="55"/>
      <c r="C10" s="149" t="s">
        <v>499</v>
      </c>
      <c r="D10" s="167">
        <v>2026</v>
      </c>
      <c r="E10" s="55"/>
      <c r="F10" s="149"/>
      <c r="H10" s="572" t="s">
        <v>341</v>
      </c>
      <c r="I10" s="572"/>
      <c r="J10" s="572"/>
      <c r="K10" s="572"/>
      <c r="L10" s="574" t="s">
        <v>344</v>
      </c>
      <c r="M10" s="574"/>
      <c r="N10" s="574"/>
      <c r="O10" s="55"/>
    </row>
    <row r="11" spans="1:17" ht="13.8" thickBot="1">
      <c r="A11" s="55"/>
      <c r="C11" s="149" t="str">
        <f>IF(VLOOKUP(L10,計算シート!F15:G22,2,0)=4,"奨学生番号","申込受付番号")</f>
        <v>申込受付番号</v>
      </c>
      <c r="D11" s="575"/>
      <c r="E11" s="575"/>
      <c r="F11" s="575"/>
      <c r="G11" s="55" t="s">
        <v>767</v>
      </c>
      <c r="H11" s="399"/>
      <c r="I11" s="55" t="s">
        <v>767</v>
      </c>
      <c r="J11" s="569"/>
      <c r="K11" s="569"/>
      <c r="L11" s="569"/>
      <c r="M11" s="569"/>
      <c r="N11" s="569"/>
      <c r="O11" s="55"/>
    </row>
    <row r="12" spans="1:17" ht="2.25" customHeight="1">
      <c r="A12" s="55"/>
      <c r="B12" s="116"/>
      <c r="C12" s="362"/>
      <c r="D12" s="363"/>
      <c r="E12" s="363"/>
      <c r="F12" s="363"/>
      <c r="G12" s="364"/>
      <c r="H12" s="365"/>
      <c r="I12" s="364"/>
      <c r="J12" s="366"/>
      <c r="K12" s="366"/>
      <c r="L12" s="366"/>
      <c r="M12" s="366"/>
      <c r="N12" s="364"/>
      <c r="O12" s="55"/>
    </row>
    <row r="13" spans="1:17" ht="13.8" thickBot="1">
      <c r="B13" s="369"/>
      <c r="C13" s="368" t="str">
        <f>IF(VLOOKUP(L10,計算シート!F15:G22,2,0)=4,"奨学生","申込者")&amp;"本人氏名"</f>
        <v>申込者本人氏名</v>
      </c>
      <c r="D13" s="557"/>
      <c r="E13" s="557"/>
      <c r="F13" s="557"/>
      <c r="G13" s="573" t="str">
        <f>IF(計算シート!C69=0,"本人生年月日","")</f>
        <v>本人生年月日</v>
      </c>
      <c r="H13" s="573"/>
      <c r="I13" s="566"/>
      <c r="J13" s="566"/>
      <c r="K13" s="566"/>
      <c r="L13" s="566"/>
      <c r="M13" s="361" t="str">
        <f>IF(計算シート!C69=0,"（ yyyy / mm / dd ）","")</f>
        <v>（ yyyy / mm / dd ）</v>
      </c>
      <c r="N13" s="367"/>
    </row>
    <row r="14" spans="1:17" ht="2.1" customHeight="1">
      <c r="B14" s="116"/>
      <c r="C14" s="362"/>
      <c r="D14" s="371"/>
      <c r="E14" s="371"/>
      <c r="F14" s="371"/>
      <c r="G14" s="372"/>
      <c r="H14" s="372"/>
      <c r="I14" s="373"/>
      <c r="J14" s="373"/>
      <c r="K14" s="374"/>
      <c r="L14" s="374"/>
      <c r="M14" s="375"/>
      <c r="N14" s="374"/>
    </row>
    <row r="15" spans="1:17" ht="13.8" thickBot="1">
      <c r="A15" s="370"/>
      <c r="B15" s="369"/>
      <c r="C15" s="368" t="str">
        <f>IF(計算シート!C69=0,"生計維持者１","配偶者")&amp;"の氏名"</f>
        <v>生計維持者１の氏名</v>
      </c>
      <c r="D15" s="557"/>
      <c r="E15" s="557"/>
      <c r="F15" s="557"/>
      <c r="G15" s="570" t="str">
        <f>IF(計算シート!C69=0,"本人との続柄","")</f>
        <v>本人との続柄</v>
      </c>
      <c r="H15" s="570"/>
      <c r="I15" s="558"/>
      <c r="J15" s="558"/>
      <c r="K15" s="379"/>
      <c r="L15" s="379"/>
      <c r="M15" s="380"/>
      <c r="N15" s="381"/>
    </row>
    <row r="16" spans="1:17" ht="2.1" customHeight="1">
      <c r="B16" s="116"/>
      <c r="C16" s="362"/>
      <c r="D16" s="371"/>
      <c r="E16" s="371"/>
      <c r="F16" s="371"/>
      <c r="G16" s="382"/>
      <c r="H16" s="382"/>
      <c r="I16" s="383"/>
      <c r="J16" s="383"/>
      <c r="K16" s="384"/>
      <c r="L16" s="384"/>
      <c r="M16" s="385"/>
      <c r="N16" s="385"/>
    </row>
    <row r="17" spans="1:14" ht="13.8" thickBot="1">
      <c r="A17" s="370"/>
      <c r="B17" s="369"/>
      <c r="C17" s="368" t="str">
        <f>IF(AND(計算シート!C69=0,NOT(OR(F36="いいえ",I15="祖父",I15="祖母",I15="その他"))),"生計維持者２"&amp;"の氏名","")</f>
        <v>生計維持者２の氏名</v>
      </c>
      <c r="D17" s="558"/>
      <c r="E17" s="558"/>
      <c r="F17" s="558"/>
      <c r="G17" s="578" t="str">
        <f>IF(AND(計算シート!C69=0,NOT(OR(F36="いいえ",I15="祖父",I15="祖母",I15="その他"))),"本人との続柄","")</f>
        <v>本人との続柄</v>
      </c>
      <c r="H17" s="578"/>
      <c r="I17" s="568"/>
      <c r="J17" s="568"/>
      <c r="K17" s="570" t="str">
        <f>IF(AND(計算シート!C69=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70"/>
      <c r="M17" s="570"/>
      <c r="N17" s="571"/>
    </row>
    <row r="18" spans="1:14" ht="2.1" customHeight="1">
      <c r="C18" s="149"/>
      <c r="D18" s="353"/>
      <c r="E18" s="353"/>
      <c r="F18" s="353"/>
      <c r="G18" s="376"/>
      <c r="H18" s="376"/>
      <c r="I18" s="354"/>
      <c r="J18" s="354"/>
      <c r="L18" s="360"/>
      <c r="M18" s="360"/>
      <c r="N18" s="161"/>
    </row>
    <row r="19" spans="1:14">
      <c r="B19" s="68" t="str">
        <f>"※ 以下、収入（所得）は【"&amp;YEAR(計算シート!C47)-1&amp;"年1月1日～12月31日】のものを入力してください。"</f>
        <v>※ 以下、収入（所得）は【2025年1月1日～12月31日】のものを入力してください。</v>
      </c>
      <c r="C19" s="68"/>
      <c r="D19" s="68"/>
      <c r="E19" s="68"/>
      <c r="F19" s="68"/>
      <c r="G19" s="165"/>
      <c r="H19" s="165"/>
      <c r="I19" s="164"/>
      <c r="J19" s="164"/>
      <c r="K19" s="164"/>
      <c r="L19" s="161"/>
      <c r="M19" s="161"/>
      <c r="N19" s="161"/>
    </row>
    <row r="20" spans="1:14">
      <c r="B20" s="68" t="str">
        <f>"    扶養等の情報は【"&amp;YEAR(計算シート!C47)-1&amp;"年12月31日】現在のものを入力してください。"</f>
        <v xml:space="preserve">    扶養等の情報は【2025年12月31日】現在のものを入力してください。</v>
      </c>
      <c r="C20" s="68"/>
      <c r="D20" s="68"/>
      <c r="E20" s="68"/>
      <c r="F20" s="68"/>
      <c r="G20" s="165"/>
      <c r="H20" s="165"/>
      <c r="I20" s="164"/>
      <c r="J20" s="164"/>
      <c r="K20" s="164"/>
      <c r="L20" s="161"/>
      <c r="M20" s="161"/>
      <c r="N20" s="161"/>
    </row>
    <row r="21" spans="1:14" ht="3.75" customHeight="1" thickBot="1">
      <c r="A21" s="61"/>
      <c r="B21" s="61"/>
      <c r="C21" s="61"/>
      <c r="D21" s="61"/>
      <c r="E21" s="61"/>
      <c r="F21" s="61"/>
      <c r="G21" s="61"/>
    </row>
    <row r="22" spans="1:14" s="76" customFormat="1" ht="15.6" customHeight="1" thickTop="1">
      <c r="A22" s="67" t="str">
        <f>IF(計算シート!C69=0,"奨学生本人情報","※大学院申込の場合、この欄は入力不要です")</f>
        <v>奨学生本人情報</v>
      </c>
      <c r="B22" s="56"/>
      <c r="C22" s="56"/>
      <c r="D22" s="56"/>
      <c r="E22" s="56"/>
      <c r="F22" s="56"/>
      <c r="G22" s="75"/>
      <c r="H22" s="356"/>
      <c r="I22" s="64" t="s">
        <v>318</v>
      </c>
      <c r="J22" s="151"/>
      <c r="K22" s="151"/>
      <c r="L22" s="151"/>
      <c r="M22" s="151"/>
      <c r="N22" s="75"/>
    </row>
    <row r="23" spans="1:14" s="76" customFormat="1" ht="12.9" customHeight="1" thickBot="1">
      <c r="A23" s="132" t="s">
        <v>261</v>
      </c>
      <c r="B23" s="562" t="str">
        <f>IF(計算シート!C69=0,"生年月日（yyyy/mm/dd）","")</f>
        <v>生年月日（yyyy/mm/dd）</v>
      </c>
      <c r="C23" s="563"/>
      <c r="D23" s="563"/>
      <c r="E23" s="298"/>
      <c r="F23" s="401" t="str">
        <f>IF(I13="","",I13)</f>
        <v/>
      </c>
      <c r="G23" s="79"/>
      <c r="I23" s="153" t="s">
        <v>319</v>
      </c>
      <c r="J23" s="56"/>
      <c r="K23" s="56"/>
      <c r="L23" s="56"/>
      <c r="M23" s="56"/>
      <c r="N23" s="79"/>
    </row>
    <row r="24" spans="1:14" s="76" customFormat="1" ht="12.9" customHeight="1" thickBot="1">
      <c r="A24" s="133" t="s">
        <v>262</v>
      </c>
      <c r="B24" s="564" t="str">
        <f>IF(計算シート!C69=0,"どちらの生計維持者に扶養されていますか","")</f>
        <v>どちらの生計維持者に扶養されていますか</v>
      </c>
      <c r="C24" s="565"/>
      <c r="D24" s="565"/>
      <c r="F24" s="54" t="s">
        <v>38</v>
      </c>
      <c r="G24" s="79"/>
      <c r="I24" s="153" t="s">
        <v>320</v>
      </c>
      <c r="J24" s="56"/>
      <c r="K24" s="56"/>
      <c r="L24" s="56"/>
      <c r="M24" s="56"/>
      <c r="N24" s="79"/>
    </row>
    <row r="25" spans="1:14" s="76" customFormat="1" ht="12.9" customHeight="1" thickBot="1">
      <c r="A25" s="133" t="s">
        <v>263</v>
      </c>
      <c r="B25" s="582" t="str">
        <f>IF(計算シート!C69=0,"障がい者に該当していますか","")</f>
        <v>障がい者に該当していますか</v>
      </c>
      <c r="C25" s="583"/>
      <c r="D25" s="583"/>
      <c r="E25" s="80"/>
      <c r="F25" s="70" t="s">
        <v>44</v>
      </c>
      <c r="G25" s="79"/>
      <c r="I25" s="153" t="s">
        <v>321</v>
      </c>
      <c r="J25" s="56"/>
      <c r="K25" s="56"/>
      <c r="L25" s="56"/>
      <c r="M25" s="56"/>
      <c r="N25" s="79"/>
    </row>
    <row r="26" spans="1:14" s="76" customFormat="1" ht="12.9" customHeight="1" thickBot="1">
      <c r="A26" s="133" t="s">
        <v>264</v>
      </c>
      <c r="B26" s="564" t="str">
        <f>IF(計算シート!C69=0,"　生計維持者と同居していますか","")</f>
        <v>　生計維持者と同居していますか</v>
      </c>
      <c r="C26" s="565"/>
      <c r="D26" s="565"/>
      <c r="E26" s="80"/>
      <c r="F26" s="54" t="s">
        <v>40</v>
      </c>
      <c r="G26" s="79"/>
      <c r="I26" s="355">
        <v>1</v>
      </c>
      <c r="J26" s="576" t="s">
        <v>322</v>
      </c>
      <c r="K26" s="577"/>
      <c r="L26" s="577"/>
      <c r="M26" s="577"/>
      <c r="N26" s="400" t="s">
        <v>500</v>
      </c>
    </row>
    <row r="27" spans="1:14" s="76" customFormat="1" ht="12.9" customHeight="1" thickBot="1">
      <c r="A27" s="133" t="s">
        <v>265</v>
      </c>
      <c r="B27" s="564" t="str">
        <f>IF(計算シート!C69=0,"奨学生本人に収入（所得）がありますか","")</f>
        <v>奨学生本人に収入（所得）がありますか</v>
      </c>
      <c r="C27" s="565"/>
      <c r="D27" s="565"/>
      <c r="E27" s="77"/>
      <c r="F27" s="40" t="s">
        <v>40</v>
      </c>
      <c r="G27" s="79"/>
      <c r="I27" s="355">
        <v>2</v>
      </c>
      <c r="J27" s="577" t="s">
        <v>329</v>
      </c>
      <c r="K27" s="577"/>
      <c r="L27" s="577"/>
      <c r="M27" s="577"/>
      <c r="N27" s="400" t="str">
        <f>IF(F36="はい","○","")</f>
        <v>○</v>
      </c>
    </row>
    <row r="28" spans="1:14" s="76" customFormat="1" ht="12.9" customHeight="1" thickBot="1">
      <c r="A28" s="133" t="s">
        <v>266</v>
      </c>
      <c r="B28" s="564" t="str">
        <f>IF(計算シート!C69=0,"　給与収入金額の通貨","")</f>
        <v>　給与収入金額の通貨</v>
      </c>
      <c r="C28" s="565"/>
      <c r="D28" s="565"/>
      <c r="E28" s="77"/>
      <c r="F28" s="54" t="s">
        <v>49</v>
      </c>
      <c r="G28" s="79"/>
      <c r="I28" s="355">
        <v>3</v>
      </c>
      <c r="J28" s="576" t="s">
        <v>328</v>
      </c>
      <c r="K28" s="577"/>
      <c r="L28" s="577"/>
      <c r="M28" s="577"/>
      <c r="N28" s="400" t="str">
        <f>IF(SUM(F51:F60,L51:L60)&gt;0,"○","")</f>
        <v/>
      </c>
    </row>
    <row r="29" spans="1:14" s="76" customFormat="1" ht="12.9" customHeight="1" thickBot="1">
      <c r="A29" s="133" t="s">
        <v>267</v>
      </c>
      <c r="B29" s="564" t="str">
        <f>IF(計算シート!C69=0,"　　給与収入金額","")</f>
        <v>　　給与収入金額</v>
      </c>
      <c r="C29" s="565"/>
      <c r="D29" s="565"/>
      <c r="F29" s="159">
        <v>0</v>
      </c>
      <c r="G29" s="78" t="str">
        <f>MID(F28,SEARCH("(",F28)+1,3)</f>
        <v>JPY</v>
      </c>
      <c r="I29" s="355">
        <v>4</v>
      </c>
      <c r="J29" s="576" t="str">
        <f>IF(計算シート!C69=0,"生計維持者が１人のみであることを証するもの","ひとり親世帯に関するもの")</f>
        <v>生計維持者が１人のみであることを証するもの</v>
      </c>
      <c r="K29" s="577"/>
      <c r="L29" s="577"/>
      <c r="M29" s="577"/>
      <c r="N29" s="400" t="str">
        <f>IF(OR(AND(計算シート!C69=0,F36="いいえ"),AND(計算シート!C69=1,F40="ひとり親である")),"○","")</f>
        <v/>
      </c>
    </row>
    <row r="30" spans="1:14" s="76" customFormat="1" ht="12.9" customHeight="1" thickBot="1">
      <c r="A30" s="133" t="s">
        <v>268</v>
      </c>
      <c r="B30" s="564" t="str">
        <f>IF(計算シート!C69=0,"　給与・年金以外の所得の通貨","")</f>
        <v>　給与・年金以外の所得の通貨</v>
      </c>
      <c r="C30" s="565"/>
      <c r="D30" s="565"/>
      <c r="E30" s="77"/>
      <c r="F30" s="54" t="s">
        <v>49</v>
      </c>
      <c r="G30" s="79"/>
      <c r="I30" s="355">
        <v>5</v>
      </c>
      <c r="J30" s="576" t="s">
        <v>326</v>
      </c>
      <c r="K30" s="577"/>
      <c r="L30" s="577"/>
      <c r="M30" s="577"/>
      <c r="N30" s="400" t="str">
        <f>IF(OR(F25="障がい者である",F25="特別の障がい者である",F39="障がい者である",F39="特別の障がい者である",L39="障がい者である",L39="特別の障がい者である",SUM(F58:F60,L58:L60)&gt;0),"○","")</f>
        <v/>
      </c>
    </row>
    <row r="31" spans="1:14" s="76" customFormat="1" ht="12.9" customHeight="1" thickBot="1">
      <c r="A31" s="134" t="s">
        <v>269</v>
      </c>
      <c r="B31" s="580" t="str">
        <f>IF(計算シート!C69=0,"　　給与・年金以外の所得の金額","")</f>
        <v>　　給与・年金以外の所得の金額</v>
      </c>
      <c r="C31" s="581"/>
      <c r="D31" s="581"/>
      <c r="E31" s="84"/>
      <c r="F31" s="159">
        <v>0</v>
      </c>
      <c r="G31" s="85" t="str">
        <f>MID(F30,SEARCH("(",F30)+1,3)</f>
        <v>JPY</v>
      </c>
      <c r="I31" s="152"/>
      <c r="J31" s="94"/>
      <c r="K31" s="94"/>
      <c r="L31" s="94"/>
      <c r="M31" s="94"/>
      <c r="N31" s="104"/>
    </row>
    <row r="32" spans="1:14" s="76" customFormat="1" ht="3" customHeight="1" thickTop="1"/>
    <row r="33" spans="1:18" s="76" customFormat="1" ht="14.1" customHeight="1" thickBot="1">
      <c r="A33" s="59"/>
      <c r="B33" s="59"/>
      <c r="C33" s="59"/>
      <c r="D33" s="59"/>
      <c r="E33" s="60"/>
      <c r="F33" s="86" t="str">
        <f>IF(計算シート!C69=0,"生計維持者１","申込者本人")</f>
        <v>生計維持者１</v>
      </c>
      <c r="G33" s="88"/>
      <c r="H33" s="86"/>
      <c r="I33" s="87"/>
      <c r="J33" s="59"/>
      <c r="K33" s="60"/>
      <c r="L33" s="102" t="str">
        <f>IF(計算シート!C69=0,IF(AND(F36="はい",OR(I15="その他",I15="祖父",I15="祖母")),"生計維持者１の配偶者",IF(AND(F36="はい",OR(AND(I15="父",I17="母"),AND(I15="母",I17="父"))),"生計維持者２","")),IF(F36="はい","申込者本人の配偶者",""))</f>
        <v/>
      </c>
      <c r="M33" s="225" t="str">
        <f>IF(L33="","","★")</f>
        <v/>
      </c>
      <c r="N33" s="350"/>
      <c r="O33" s="351"/>
      <c r="P33" s="89"/>
    </row>
    <row r="34" spans="1:18" s="76" customFormat="1" ht="15.6" customHeight="1" thickTop="1" thickBot="1">
      <c r="A34" s="64" t="str">
        <f>IF(計算シート!C69=0,"生計維持者","申込者本人")&amp;"の基本情報"</f>
        <v>生計維持者の基本情報</v>
      </c>
      <c r="B34" s="338"/>
      <c r="C34" s="338"/>
      <c r="D34" s="338"/>
      <c r="E34" s="339"/>
      <c r="F34" s="56"/>
      <c r="G34" s="56"/>
      <c r="H34" s="56"/>
      <c r="I34" s="90"/>
      <c r="J34" s="56"/>
      <c r="K34" s="57"/>
      <c r="L34" s="103" t="str">
        <f>IF(OR(L33="生計維持者１の配偶者",L33="申込者本人の配偶者"),"(配偶者の基本情報）","")</f>
        <v/>
      </c>
      <c r="M34" s="75"/>
      <c r="N34" s="392" t="str">
        <f>IF(M33="★","★の者が1/1時","")</f>
        <v/>
      </c>
      <c r="P34" s="91"/>
    </row>
    <row r="35" spans="1:18" s="76" customFormat="1" ht="12.9" customHeight="1" thickBot="1">
      <c r="A35" s="135" t="s">
        <v>270</v>
      </c>
      <c r="B35" s="564" t="s">
        <v>351</v>
      </c>
      <c r="C35" s="565"/>
      <c r="D35" s="565"/>
      <c r="E35" s="340"/>
      <c r="F35" s="169"/>
      <c r="G35" s="56"/>
      <c r="H35" s="331"/>
      <c r="I35" s="90"/>
      <c r="J35" s="138" t="s">
        <v>275</v>
      </c>
      <c r="K35" s="57"/>
      <c r="L35" s="169"/>
      <c r="M35" s="79"/>
      <c r="N35" s="392" t="str">
        <f>IF(M33="★","点で日本国内に","")</f>
        <v/>
      </c>
      <c r="P35" s="91"/>
    </row>
    <row r="36" spans="1:18" s="76" customFormat="1" ht="12.9" customHeight="1" thickBot="1">
      <c r="A36" s="136" t="s">
        <v>271</v>
      </c>
      <c r="B36" s="564" t="str">
        <f>IF(計算シート!C69=0,"","申込者本人に")&amp;"配偶者はいますか"</f>
        <v>配偶者はいますか</v>
      </c>
      <c r="C36" s="565"/>
      <c r="D36" s="565"/>
      <c r="E36" s="340"/>
      <c r="F36" s="40" t="s">
        <v>40</v>
      </c>
      <c r="G36" s="56"/>
      <c r="H36" s="92"/>
      <c r="I36" s="90"/>
      <c r="J36" s="139"/>
      <c r="K36" s="57"/>
      <c r="L36" s="92"/>
      <c r="M36" s="79"/>
      <c r="N36" s="392" t="str">
        <f>IF(M33="★","居住していた場","")</f>
        <v/>
      </c>
      <c r="P36" s="91"/>
    </row>
    <row r="37" spans="1:18" s="76" customFormat="1" ht="12.9" hidden="1" customHeight="1" thickBot="1">
      <c r="A37" s="136" t="s">
        <v>272</v>
      </c>
      <c r="B37" s="564" t="str">
        <f>IF(計算シート!C69=0,"　配偶者は生計維持者２ですか","")</f>
        <v>　配偶者は生計維持者２ですか</v>
      </c>
      <c r="C37" s="565"/>
      <c r="D37" s="565"/>
      <c r="E37" s="340"/>
      <c r="F37" s="40" t="str">
        <f>IF(AND(I15&lt;&gt;"その他",F36="はい"),"はい","いいえ")</f>
        <v>はい</v>
      </c>
      <c r="G37" s="56"/>
      <c r="H37" s="92"/>
      <c r="I37" s="90"/>
      <c r="J37" s="139"/>
      <c r="K37" s="57"/>
      <c r="L37" s="92"/>
      <c r="M37" s="79"/>
      <c r="N37" s="393"/>
      <c r="P37" s="91"/>
      <c r="R37" s="76" t="s">
        <v>896</v>
      </c>
    </row>
    <row r="38" spans="1:18" s="76" customFormat="1" ht="12.9" customHeight="1" thickBot="1">
      <c r="A38" s="136" t="s">
        <v>272</v>
      </c>
      <c r="B38" s="564" t="str">
        <f>IF(AND(OR(I15&lt;&gt;"その他",I15&lt;&gt;"祖父",I15&lt;&gt;"祖母"),F36="はい"),"　生計維持者２","　配偶者")&amp;"と同居していますか"</f>
        <v>　生計維持者２と同居していますか</v>
      </c>
      <c r="C38" s="565"/>
      <c r="D38" s="579"/>
      <c r="E38" s="45"/>
      <c r="F38" s="40" t="s">
        <v>40</v>
      </c>
      <c r="G38" s="56"/>
      <c r="H38" s="92"/>
      <c r="I38" s="90"/>
      <c r="J38" s="139"/>
      <c r="K38" s="57"/>
      <c r="L38" s="56"/>
      <c r="M38" s="79"/>
      <c r="N38" s="392" t="str">
        <f>IF(M33="★","合でも入力して","")</f>
        <v/>
      </c>
      <c r="P38" s="91"/>
    </row>
    <row r="39" spans="1:18" s="76" customFormat="1" ht="12.9" customHeight="1" thickBot="1">
      <c r="A39" s="136" t="s">
        <v>273</v>
      </c>
      <c r="B39" s="588" t="str">
        <f>"障がい者に該当していますか"</f>
        <v>障がい者に該当していますか</v>
      </c>
      <c r="C39" s="589"/>
      <c r="D39" s="589"/>
      <c r="E39" s="341"/>
      <c r="F39" s="70" t="s">
        <v>44</v>
      </c>
      <c r="G39" s="56"/>
      <c r="H39" s="332"/>
      <c r="I39" s="90"/>
      <c r="J39" s="140" t="s">
        <v>276</v>
      </c>
      <c r="K39" s="349"/>
      <c r="L39" s="70"/>
      <c r="M39" s="79"/>
      <c r="N39" s="392" t="str">
        <f>IF(M33="★","ください。","")</f>
        <v/>
      </c>
      <c r="P39" s="91"/>
    </row>
    <row r="40" spans="1:18" s="76" customFormat="1" ht="12.9" customHeight="1" thickBot="1">
      <c r="A40" s="137" t="s">
        <v>274</v>
      </c>
      <c r="B40" s="580" t="str">
        <f>IF(計算シート!C69=0,"","申込者本人は")&amp;"ひとり親ですか"</f>
        <v>ひとり親ですか</v>
      </c>
      <c r="C40" s="581"/>
      <c r="D40" s="581"/>
      <c r="E40" s="63"/>
      <c r="F40" s="41" t="s">
        <v>758</v>
      </c>
      <c r="G40" s="333"/>
      <c r="H40" s="334"/>
      <c r="I40" s="329"/>
      <c r="J40" s="141"/>
      <c r="K40" s="99"/>
      <c r="L40" s="105"/>
      <c r="M40" s="104"/>
      <c r="N40" s="392"/>
      <c r="P40" s="91"/>
    </row>
    <row r="41" spans="1:18" s="123" customFormat="1" ht="3" customHeight="1" thickTop="1" thickBot="1">
      <c r="A41" s="117"/>
      <c r="B41" s="118"/>
      <c r="C41" s="118"/>
      <c r="D41" s="118"/>
      <c r="E41" s="119"/>
      <c r="F41" s="118"/>
      <c r="G41" s="118"/>
      <c r="H41" s="118"/>
      <c r="I41" s="120"/>
      <c r="J41" s="130"/>
      <c r="K41" s="119"/>
      <c r="L41" s="121"/>
      <c r="M41" s="118"/>
      <c r="N41" s="404"/>
      <c r="P41" s="122"/>
    </row>
    <row r="42" spans="1:18" s="76" customFormat="1" ht="15.6" customHeight="1" thickTop="1" thickBot="1">
      <c r="A42" s="64" t="str">
        <f>IF(計算シート!C69=0,"生計維持者の","")&amp;"収入・所得の情報"</f>
        <v>生計維持者の収入・所得の情報</v>
      </c>
      <c r="B42" s="338"/>
      <c r="C42" s="338"/>
      <c r="D42" s="338"/>
      <c r="E42" s="339"/>
      <c r="F42" s="56"/>
      <c r="G42" s="56"/>
      <c r="H42" s="56"/>
      <c r="I42" s="90"/>
      <c r="J42" s="129"/>
      <c r="K42" s="57"/>
      <c r="L42" s="103" t="str">
        <f>IF(L33="生計維持者１の配偶者","(配偶者の収入・所得の情報）","")</f>
        <v/>
      </c>
      <c r="M42" s="75"/>
      <c r="N42" s="392" t="str">
        <f>IF(M33="★","扶養の情報は、","")</f>
        <v/>
      </c>
      <c r="P42" s="91"/>
    </row>
    <row r="43" spans="1:18" s="76" customFormat="1" ht="12.9" customHeight="1" thickBot="1">
      <c r="A43" s="135" t="s">
        <v>277</v>
      </c>
      <c r="B43" s="590" t="s">
        <v>217</v>
      </c>
      <c r="C43" s="591"/>
      <c r="D43" s="592"/>
      <c r="E43" s="44"/>
      <c r="F43" s="54" t="s">
        <v>49</v>
      </c>
      <c r="G43" s="56"/>
      <c r="H43" s="335"/>
      <c r="I43" s="90"/>
      <c r="J43" s="138" t="s">
        <v>283</v>
      </c>
      <c r="K43" s="57"/>
      <c r="L43" s="54" t="s">
        <v>49</v>
      </c>
      <c r="M43" s="79"/>
      <c r="N43" s="392" t="str">
        <f>IF(M33="★","1/1時点で日本","")</f>
        <v/>
      </c>
      <c r="P43" s="91"/>
    </row>
    <row r="44" spans="1:18" s="76" customFormat="1" ht="12.9" customHeight="1" thickBot="1">
      <c r="A44" s="136" t="s">
        <v>278</v>
      </c>
      <c r="B44" s="584" t="s">
        <v>219</v>
      </c>
      <c r="C44" s="585"/>
      <c r="D44" s="585"/>
      <c r="E44" s="340"/>
      <c r="F44" s="159">
        <v>0</v>
      </c>
      <c r="G44" s="76" t="str">
        <f>MID(F43,SEARCH("(",F43)+1,3)</f>
        <v>JPY</v>
      </c>
      <c r="H44" s="336"/>
      <c r="I44" s="90"/>
      <c r="J44" s="140" t="s">
        <v>284</v>
      </c>
      <c r="K44" s="57"/>
      <c r="L44" s="159">
        <v>0</v>
      </c>
      <c r="M44" s="78" t="str">
        <f>MID(L43,SEARCH("(",L43)+1,3)</f>
        <v>JPY</v>
      </c>
      <c r="N44" s="405" t="str">
        <f>IF(M33="★","国内に居住して","")</f>
        <v/>
      </c>
      <c r="P44" s="91"/>
    </row>
    <row r="45" spans="1:18" s="76" customFormat="1" ht="12.9" customHeight="1" thickBot="1">
      <c r="A45" s="136" t="s">
        <v>279</v>
      </c>
      <c r="B45" s="584" t="s">
        <v>218</v>
      </c>
      <c r="C45" s="585"/>
      <c r="D45" s="585"/>
      <c r="E45" s="340"/>
      <c r="F45" s="54" t="s">
        <v>49</v>
      </c>
      <c r="G45" s="56"/>
      <c r="H45" s="335"/>
      <c r="I45" s="90"/>
      <c r="J45" s="140" t="s">
        <v>285</v>
      </c>
      <c r="K45" s="57"/>
      <c r="L45" s="54" t="s">
        <v>49</v>
      </c>
      <c r="M45" s="79"/>
      <c r="N45" s="405" t="str">
        <f>IF(M33="★","いた者は課税証","")</f>
        <v/>
      </c>
      <c r="P45" s="91"/>
    </row>
    <row r="46" spans="1:18" s="76" customFormat="1" ht="12.9" customHeight="1" thickBot="1">
      <c r="A46" s="136" t="s">
        <v>280</v>
      </c>
      <c r="B46" s="586" t="s">
        <v>220</v>
      </c>
      <c r="C46" s="587"/>
      <c r="D46" s="587"/>
      <c r="E46" s="44"/>
      <c r="F46" s="159">
        <v>0</v>
      </c>
      <c r="G46" s="76" t="str">
        <f>MID(F45,SEARCH("(",F45)+1,3)</f>
        <v>JPY</v>
      </c>
      <c r="H46" s="336"/>
      <c r="I46" s="90"/>
      <c r="J46" s="140" t="s">
        <v>286</v>
      </c>
      <c r="K46" s="57"/>
      <c r="L46" s="159">
        <v>0</v>
      </c>
      <c r="M46" s="97" t="str">
        <f>MID(L45,SEARCH("(",L45)+1,3)</f>
        <v>JPY</v>
      </c>
      <c r="N46" s="405" t="str">
        <f>IF(M33="★","明書の扶養親族","")</f>
        <v/>
      </c>
      <c r="P46" s="91"/>
    </row>
    <row r="47" spans="1:18" s="76" customFormat="1" ht="12.9" customHeight="1" thickBot="1">
      <c r="A47" s="136" t="s">
        <v>281</v>
      </c>
      <c r="B47" s="42" t="s">
        <v>248</v>
      </c>
      <c r="C47" s="298"/>
      <c r="D47" s="298"/>
      <c r="E47" s="343"/>
      <c r="F47" s="54" t="s">
        <v>49</v>
      </c>
      <c r="G47" s="56"/>
      <c r="H47" s="335"/>
      <c r="I47" s="90"/>
      <c r="J47" s="140" t="s">
        <v>287</v>
      </c>
      <c r="K47" s="57"/>
      <c r="L47" s="54" t="s">
        <v>49</v>
      </c>
      <c r="M47" s="98"/>
      <c r="N47" s="405" t="str">
        <f>IF(M33="★","の数を入力して","")</f>
        <v/>
      </c>
      <c r="P47" s="91"/>
    </row>
    <row r="48" spans="1:18" s="76" customFormat="1" ht="12.9" customHeight="1" thickBot="1">
      <c r="A48" s="137" t="s">
        <v>282</v>
      </c>
      <c r="B48" s="342" t="s">
        <v>249</v>
      </c>
      <c r="C48" s="346"/>
      <c r="D48" s="347"/>
      <c r="E48" s="348"/>
      <c r="F48" s="159">
        <v>0</v>
      </c>
      <c r="G48" s="327" t="str">
        <f>MID(F47,SEARCH("(",F47)+1,3)</f>
        <v>JPY</v>
      </c>
      <c r="H48" s="337"/>
      <c r="I48" s="329"/>
      <c r="J48" s="142" t="s">
        <v>288</v>
      </c>
      <c r="K48" s="95"/>
      <c r="L48" s="159">
        <v>0</v>
      </c>
      <c r="M48" s="85" t="str">
        <f>MID(L47,SEARCH("(",L47)+1,3)</f>
        <v>JPY</v>
      </c>
      <c r="N48" s="405" t="str">
        <f>IF(M33="★","ください(下欄)。","")</f>
        <v/>
      </c>
      <c r="P48" s="91"/>
    </row>
    <row r="49" spans="1:16" s="76" customFormat="1" ht="3" customHeight="1" thickTop="1" thickBot="1">
      <c r="A49" s="131"/>
      <c r="B49" s="59"/>
      <c r="C49" s="59"/>
      <c r="D49" s="59"/>
      <c r="E49" s="65"/>
      <c r="F49" s="59"/>
      <c r="G49" s="96"/>
      <c r="H49" s="59"/>
      <c r="I49" s="96"/>
      <c r="J49" s="131"/>
      <c r="K49" s="65"/>
      <c r="L49" s="59"/>
      <c r="M49" s="59"/>
      <c r="N49" s="59"/>
      <c r="O49" s="59"/>
      <c r="P49" s="91"/>
    </row>
    <row r="50" spans="1:16" s="76" customFormat="1" ht="15.6" customHeight="1" thickTop="1" thickBot="1">
      <c r="A50" s="324" t="str">
        <f>IF(計算シート!C69=0,"生計維持者の","")&amp;"扶養の情報（本人や他の生計維持者、配偶者は含めないでください）"</f>
        <v>生計維持者の扶養の情報（本人や他の生計維持者、配偶者は含めないでください）</v>
      </c>
      <c r="B50" s="344"/>
      <c r="C50" s="344"/>
      <c r="D50" s="344"/>
      <c r="E50" s="344"/>
      <c r="F50" s="325"/>
      <c r="G50" s="90"/>
      <c r="H50" s="407"/>
      <c r="I50" s="90"/>
      <c r="J50" s="129"/>
      <c r="K50" s="57"/>
      <c r="L50" s="103" t="str">
        <f>IF(L33="生計維持者１の配偶者","(配偶者の扶養の情報）","")</f>
        <v/>
      </c>
      <c r="M50" s="151"/>
      <c r="N50" s="103"/>
      <c r="O50" s="75"/>
      <c r="P50" s="91"/>
    </row>
    <row r="51" spans="1:16" s="76" customFormat="1" ht="12.9" customHeight="1" thickBot="1">
      <c r="A51" s="136" t="s">
        <v>289</v>
      </c>
      <c r="B51" s="564" t="s">
        <v>0</v>
      </c>
      <c r="C51" s="565"/>
      <c r="D51" s="565"/>
      <c r="E51" s="340"/>
      <c r="F51" s="40">
        <v>0</v>
      </c>
      <c r="G51" s="328" t="s">
        <v>48</v>
      </c>
      <c r="H51" s="408"/>
      <c r="I51" s="90"/>
      <c r="J51" s="138" t="s">
        <v>949</v>
      </c>
      <c r="K51" s="57"/>
      <c r="L51" s="40">
        <v>0</v>
      </c>
      <c r="M51" s="328" t="s">
        <v>48</v>
      </c>
      <c r="N51" s="408"/>
      <c r="O51" s="79"/>
      <c r="P51" s="91"/>
    </row>
    <row r="52" spans="1:16" s="76" customFormat="1" ht="12.9" customHeight="1" thickBot="1">
      <c r="A52" s="136" t="s">
        <v>290</v>
      </c>
      <c r="B52" s="564" t="s">
        <v>1</v>
      </c>
      <c r="C52" s="565"/>
      <c r="D52" s="565"/>
      <c r="E52" s="340"/>
      <c r="F52" s="40">
        <v>0</v>
      </c>
      <c r="G52" s="326" t="s">
        <v>48</v>
      </c>
      <c r="H52" s="377" t="str">
        <f>"うち"&amp;IF(計算シート!C69=0,"生計維","申込者")</f>
        <v>うち生計維</v>
      </c>
      <c r="I52" s="90"/>
      <c r="J52" s="140" t="s">
        <v>950</v>
      </c>
      <c r="K52" s="57"/>
      <c r="L52" s="40">
        <v>0</v>
      </c>
      <c r="M52" s="326" t="s">
        <v>48</v>
      </c>
      <c r="N52" s="406" t="str">
        <f>"うち★の"</f>
        <v>うち★の</v>
      </c>
      <c r="O52" s="79"/>
      <c r="P52" s="91"/>
    </row>
    <row r="53" spans="1:16" s="76" customFormat="1" ht="12.9" customHeight="1" thickBot="1">
      <c r="A53" s="136" t="s">
        <v>291</v>
      </c>
      <c r="B53" s="564" t="s">
        <v>2</v>
      </c>
      <c r="C53" s="565"/>
      <c r="D53" s="565"/>
      <c r="E53" s="340"/>
      <c r="F53" s="40">
        <v>0</v>
      </c>
      <c r="G53" s="326" t="s">
        <v>48</v>
      </c>
      <c r="H53" s="378" t="str">
        <f>IF(計算シート!C69=0,"持者１より","本人より")</f>
        <v>持者１より</v>
      </c>
      <c r="I53" s="90"/>
      <c r="J53" s="140" t="s">
        <v>951</v>
      </c>
      <c r="K53" s="57"/>
      <c r="L53" s="40">
        <v>0</v>
      </c>
      <c r="M53" s="326" t="s">
        <v>48</v>
      </c>
      <c r="N53" s="352" t="str">
        <f>"者より"</f>
        <v>者より</v>
      </c>
      <c r="O53" s="79"/>
      <c r="P53" s="91"/>
    </row>
    <row r="54" spans="1:16" s="76" customFormat="1" ht="12.9" customHeight="1" thickBot="1">
      <c r="A54" s="136" t="s">
        <v>942</v>
      </c>
      <c r="B54" s="595" t="s">
        <v>941</v>
      </c>
      <c r="C54" s="596"/>
      <c r="D54" s="597"/>
      <c r="E54" s="340"/>
      <c r="F54" s="40">
        <v>0</v>
      </c>
      <c r="G54" s="326" t="s">
        <v>48</v>
      </c>
      <c r="H54" s="378" t="s">
        <v>766</v>
      </c>
      <c r="I54" s="90"/>
      <c r="J54" s="140" t="s">
        <v>952</v>
      </c>
      <c r="K54" s="57"/>
      <c r="L54" s="40">
        <v>0</v>
      </c>
      <c r="M54" s="326" t="s">
        <v>48</v>
      </c>
      <c r="N54" s="411" t="s">
        <v>766</v>
      </c>
      <c r="O54" s="79"/>
      <c r="P54" s="91"/>
    </row>
    <row r="55" spans="1:16" s="76" customFormat="1" ht="12.9" customHeight="1" thickBot="1">
      <c r="A55" s="136" t="s">
        <v>943</v>
      </c>
      <c r="B55" s="564" t="s">
        <v>3</v>
      </c>
      <c r="C55" s="565"/>
      <c r="D55" s="565"/>
      <c r="E55" s="340"/>
      <c r="F55" s="40">
        <v>0</v>
      </c>
      <c r="G55" s="409" t="s">
        <v>48</v>
      </c>
      <c r="H55" s="40">
        <v>0</v>
      </c>
      <c r="I55" s="410" t="s">
        <v>48</v>
      </c>
      <c r="J55" s="140" t="s">
        <v>953</v>
      </c>
      <c r="K55" s="57"/>
      <c r="L55" s="40">
        <v>0</v>
      </c>
      <c r="M55" s="409" t="s">
        <v>48</v>
      </c>
      <c r="N55" s="40">
        <v>0</v>
      </c>
      <c r="O55" s="97" t="s">
        <v>48</v>
      </c>
      <c r="P55" s="91"/>
    </row>
    <row r="56" spans="1:16" s="76" customFormat="1" ht="12.9" customHeight="1" thickBot="1">
      <c r="A56" s="136" t="s">
        <v>944</v>
      </c>
      <c r="B56" s="564" t="s">
        <v>4</v>
      </c>
      <c r="C56" s="565"/>
      <c r="D56" s="565"/>
      <c r="E56" s="340"/>
      <c r="F56" s="40">
        <v>0</v>
      </c>
      <c r="G56" s="328" t="s">
        <v>48</v>
      </c>
      <c r="H56" s="593" t="s">
        <v>900</v>
      </c>
      <c r="I56" s="604"/>
      <c r="J56" s="140" t="s">
        <v>954</v>
      </c>
      <c r="K56" s="57"/>
      <c r="L56" s="40">
        <v>0</v>
      </c>
      <c r="M56" s="328" t="s">
        <v>48</v>
      </c>
      <c r="N56" s="593" t="str">
        <f>IF(F36="はい","(項番43の内数)","")</f>
        <v>(項番43の内数)</v>
      </c>
      <c r="O56" s="594"/>
      <c r="P56" s="91"/>
    </row>
    <row r="57" spans="1:16" s="76" customFormat="1" ht="12.9" customHeight="1" thickBot="1">
      <c r="A57" s="136" t="s">
        <v>945</v>
      </c>
      <c r="B57" s="564" t="s">
        <v>5</v>
      </c>
      <c r="C57" s="565"/>
      <c r="D57" s="565"/>
      <c r="E57" s="340"/>
      <c r="F57" s="40">
        <v>0</v>
      </c>
      <c r="G57" s="328" t="s">
        <v>48</v>
      </c>
      <c r="H57" s="92"/>
      <c r="I57" s="90"/>
      <c r="J57" s="140" t="s">
        <v>955</v>
      </c>
      <c r="K57" s="57"/>
      <c r="L57" s="40">
        <v>0</v>
      </c>
      <c r="M57" s="76" t="s">
        <v>48</v>
      </c>
      <c r="N57" s="92"/>
      <c r="O57" s="79"/>
      <c r="P57" s="91"/>
    </row>
    <row r="58" spans="1:16" s="76" customFormat="1" ht="12.9" customHeight="1" thickBot="1">
      <c r="A58" s="136" t="s">
        <v>946</v>
      </c>
      <c r="B58" s="564" t="s">
        <v>244</v>
      </c>
      <c r="C58" s="565"/>
      <c r="D58" s="565"/>
      <c r="E58" s="340"/>
      <c r="F58" s="40">
        <v>0</v>
      </c>
      <c r="G58" s="328" t="s">
        <v>48</v>
      </c>
      <c r="H58" s="92"/>
      <c r="I58" s="90"/>
      <c r="J58" s="140" t="s">
        <v>956</v>
      </c>
      <c r="K58" s="57"/>
      <c r="L58" s="40">
        <v>0</v>
      </c>
      <c r="M58" s="76" t="s">
        <v>48</v>
      </c>
      <c r="N58" s="92"/>
      <c r="O58" s="79"/>
      <c r="P58" s="91"/>
    </row>
    <row r="59" spans="1:16" s="76" customFormat="1" ht="12.9" customHeight="1" thickBot="1">
      <c r="A59" s="136" t="s">
        <v>947</v>
      </c>
      <c r="B59" s="564" t="s">
        <v>245</v>
      </c>
      <c r="C59" s="565"/>
      <c r="D59" s="565"/>
      <c r="E59" s="345"/>
      <c r="F59" s="40">
        <v>0</v>
      </c>
      <c r="G59" s="328" t="s">
        <v>48</v>
      </c>
      <c r="H59" s="92"/>
      <c r="I59" s="90"/>
      <c r="J59" s="140" t="s">
        <v>307</v>
      </c>
      <c r="K59" s="57"/>
      <c r="L59" s="40">
        <v>0</v>
      </c>
      <c r="M59" s="76" t="s">
        <v>48</v>
      </c>
      <c r="N59" s="92"/>
      <c r="O59" s="79"/>
      <c r="P59" s="91"/>
    </row>
    <row r="60" spans="1:16" s="76" customFormat="1" ht="12.9" customHeight="1" thickBot="1">
      <c r="A60" s="137" t="s">
        <v>948</v>
      </c>
      <c r="B60" s="580" t="s">
        <v>246</v>
      </c>
      <c r="C60" s="581"/>
      <c r="D60" s="581"/>
      <c r="E60" s="63"/>
      <c r="F60" s="40">
        <v>0</v>
      </c>
      <c r="G60" s="327" t="s">
        <v>48</v>
      </c>
      <c r="H60" s="330"/>
      <c r="I60" s="329"/>
      <c r="J60" s="143" t="s">
        <v>957</v>
      </c>
      <c r="K60" s="95"/>
      <c r="L60" s="40">
        <v>0</v>
      </c>
      <c r="M60" s="327" t="s">
        <v>48</v>
      </c>
      <c r="N60" s="330"/>
      <c r="O60" s="104"/>
      <c r="P60" s="91"/>
    </row>
    <row r="61" spans="1:16" ht="3" customHeight="1" thickTop="1">
      <c r="E61" s="47"/>
      <c r="F61" s="48"/>
      <c r="G61" s="49"/>
      <c r="H61" s="48"/>
      <c r="I61" s="49"/>
      <c r="K61" s="47"/>
      <c r="L61" s="50"/>
      <c r="M61" s="50"/>
      <c r="N61" s="50"/>
      <c r="O61" s="50"/>
      <c r="P61" s="49"/>
    </row>
    <row r="62" spans="1:16" ht="3.75" customHeight="1"/>
    <row r="63" spans="1:16">
      <c r="B63" t="s">
        <v>252</v>
      </c>
    </row>
    <row r="64" spans="1:16">
      <c r="B64" s="73" t="str">
        <f>"１　"&amp;IF(計算シート!C69=0,"全ての生計維持者","本人及び配偶者")&amp;"の情報を入力したうえで印刷し、収入等の証明書類（和訳付）を添付してください。国内外を問わず扶養親族がいる場合、"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4" s="73"/>
      <c r="D64" s="73"/>
      <c r="E64" s="73"/>
      <c r="F64" s="73"/>
    </row>
    <row r="65" spans="1:18">
      <c r="B65" s="74" t="str">
        <f>"　"&amp;IF(計算シート!C69=0,"生計維持","扶養")&amp;"者との関係を明らかにする書類も必要です。国内に居住している"&amp;IF(計算シート!C69=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5" s="74"/>
      <c r="D65" s="74"/>
      <c r="E65" s="74"/>
      <c r="F65" s="74"/>
    </row>
    <row r="66" spans="1:18">
      <c r="B66"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C66" s="74"/>
      <c r="D66" s="74"/>
      <c r="E66" s="74"/>
      <c r="F66" s="74"/>
    </row>
    <row r="67" spans="1:18">
      <c r="B67"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C67" s="74"/>
      <c r="D67" s="74"/>
      <c r="E67" s="74"/>
      <c r="F67" s="74"/>
    </row>
    <row r="68" spans="1:18">
      <c r="B68" s="74" t="s">
        <v>355</v>
      </c>
      <c r="C68" s="74"/>
      <c r="D68" s="74"/>
      <c r="E68" s="74"/>
      <c r="F68" s="74"/>
    </row>
    <row r="69" spans="1:18" ht="10.5" customHeight="1">
      <c r="B69" s="74" t="s">
        <v>247</v>
      </c>
      <c r="C69" s="74"/>
      <c r="D69" s="74"/>
      <c r="E69" s="74"/>
      <c r="F69" s="74"/>
    </row>
    <row r="70" spans="1:18" ht="13.5" customHeight="1">
      <c r="A70" s="39"/>
      <c r="B70" s="274" t="str">
        <f>"　また、「扶養親族」とは、"&amp;IF(計算シート!C69=0,"生計維持者","扶養者")&amp;"の配偶者でない６親等内の血族又は３親等内の姻族で、他者の扶養親族になっておらず、合計所得金額が"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70" s="274"/>
      <c r="D70" s="274"/>
      <c r="E70" s="274"/>
      <c r="F70" s="274"/>
      <c r="G70" s="39"/>
      <c r="H70" s="39"/>
      <c r="I70" s="39"/>
      <c r="J70" s="39"/>
      <c r="K70" s="39"/>
      <c r="L70" s="39"/>
      <c r="M70" s="39"/>
      <c r="N70" s="39"/>
      <c r="O70" s="39"/>
      <c r="P70" s="39"/>
      <c r="Q70" s="39"/>
    </row>
    <row r="71" spans="1:18" ht="13.5" customHeight="1">
      <c r="A71" s="39"/>
      <c r="B71" s="274" t="str">
        <f>"　"&amp;IF(計算シート!C51=1,58,48)&amp;"万円以下の、"&amp;IF(計算シート!C69=0,"生計維持者","扶養者")&amp;"と生計を一にしている者（別住所でも可）をいいます。"&amp;IF(計算シート!C51=1,"「特定親族」については「記入例と注意事項」を参照してください。","")</f>
        <v>　58万円以下の、生計維持者と生計を一にしている者（別住所でも可）をいいます。「特定親族」については「記入例と注意事項」を参照してください。</v>
      </c>
      <c r="C71" s="274"/>
      <c r="D71" s="274"/>
      <c r="E71" s="274"/>
      <c r="F71" s="274"/>
      <c r="G71" s="39"/>
      <c r="H71" s="39"/>
      <c r="I71" s="39"/>
      <c r="J71" s="39"/>
      <c r="K71" s="39"/>
      <c r="L71" s="39"/>
      <c r="M71" s="39"/>
      <c r="N71" s="39"/>
      <c r="O71" s="39"/>
      <c r="P71" s="39"/>
      <c r="Q71" s="39"/>
    </row>
    <row r="72" spans="1:18" ht="13.5" customHeight="1">
      <c r="A72" s="384"/>
      <c r="B72" s="158" t="s">
        <v>356</v>
      </c>
      <c r="C72" s="158"/>
      <c r="D72" s="158"/>
      <c r="E72" s="158"/>
      <c r="F72" s="158"/>
      <c r="G72" s="384"/>
      <c r="H72" s="384"/>
      <c r="I72" s="384"/>
      <c r="J72" s="384"/>
      <c r="K72" s="384"/>
      <c r="L72" s="384"/>
      <c r="M72" s="384"/>
      <c r="N72" s="384"/>
      <c r="O72" s="384"/>
      <c r="P72" s="384"/>
      <c r="Q72" s="384"/>
    </row>
    <row r="73" spans="1:18">
      <c r="A73" s="39"/>
      <c r="B73" s="39" t="s">
        <v>243</v>
      </c>
      <c r="C73" s="39"/>
      <c r="D73" s="39"/>
      <c r="E73" s="39"/>
      <c r="F73" s="527"/>
      <c r="G73" s="39"/>
      <c r="H73" s="39"/>
      <c r="I73" s="39"/>
      <c r="J73" s="39"/>
      <c r="K73" s="39"/>
      <c r="L73" s="39"/>
      <c r="M73" s="39"/>
      <c r="N73" s="39"/>
      <c r="O73" s="39"/>
      <c r="P73" s="39"/>
      <c r="Q73" s="39"/>
    </row>
    <row r="74" spans="1:18" ht="10.5" customHeight="1">
      <c r="A74" s="281"/>
      <c r="B74" s="528" t="s">
        <v>914</v>
      </c>
      <c r="C74" s="529">
        <f>計算シート!B35</f>
        <v>0</v>
      </c>
      <c r="D74" s="530"/>
      <c r="E74" s="291"/>
      <c r="F74" s="531"/>
      <c r="G74" s="532" t="s">
        <v>770</v>
      </c>
      <c r="H74" s="387">
        <f>IF(計算シート!C64=0,"-",計算シート!C66)</f>
        <v>0</v>
      </c>
      <c r="I74" s="602" t="s">
        <v>772</v>
      </c>
      <c r="J74" s="603"/>
      <c r="K74" s="533" t="e">
        <f>IF(計算シート!C64=0,"-",計算シート!C68)</f>
        <v>#N/A</v>
      </c>
      <c r="L74" s="274"/>
      <c r="M74" s="274"/>
      <c r="N74" s="274"/>
      <c r="O74" s="274"/>
      <c r="P74" s="39"/>
      <c r="Q74" s="39"/>
    </row>
    <row r="75" spans="1:18" ht="10.5" customHeight="1">
      <c r="A75" s="281"/>
      <c r="B75" s="282" t="s">
        <v>915</v>
      </c>
      <c r="C75" s="534" t="str">
        <f>計算シート!C62</f>
        <v>エラー</v>
      </c>
      <c r="D75" s="535">
        <f>計算シート!D62</f>
        <v>0</v>
      </c>
      <c r="E75" s="536"/>
      <c r="F75" s="537"/>
      <c r="G75" s="386" t="s">
        <v>771</v>
      </c>
      <c r="H75" s="388">
        <f>計算シート!C67</f>
        <v>0</v>
      </c>
      <c r="I75" s="274"/>
      <c r="J75" s="274"/>
      <c r="K75" s="274"/>
      <c r="L75" s="538"/>
      <c r="M75" s="538"/>
      <c r="N75" s="538"/>
      <c r="O75" s="274"/>
      <c r="P75" s="39"/>
      <c r="Q75" s="39"/>
    </row>
    <row r="76" spans="1:18" ht="10.5" customHeight="1">
      <c r="A76" s="39"/>
      <c r="B76" s="539" t="s">
        <v>916</v>
      </c>
      <c r="C76" s="540" t="str">
        <f>IF(計算シート!C64=0,計算シート!C42,計算シート!C63)</f>
        <v>エラー</v>
      </c>
      <c r="D76" s="541">
        <f>IF(計算シート!C64=0,計算シート!D42,計算シート!D63)</f>
        <v>0</v>
      </c>
      <c r="E76" s="542"/>
      <c r="F76" s="538"/>
      <c r="G76" s="543"/>
      <c r="H76" s="39"/>
      <c r="I76" s="274"/>
      <c r="J76" s="274"/>
      <c r="K76" s="274"/>
      <c r="L76" s="39"/>
      <c r="M76" s="538"/>
      <c r="N76" s="538"/>
      <c r="O76" s="274"/>
      <c r="P76" s="39"/>
      <c r="Q76" s="544"/>
      <c r="R76" s="76"/>
    </row>
    <row r="77" spans="1:18" ht="10.5" hidden="1" customHeight="1">
      <c r="A77" s="39"/>
      <c r="B77" s="282" t="s">
        <v>338</v>
      </c>
      <c r="C77" s="284" t="str">
        <f>IF(計算シート!C64=0,計算シート!C43,"-")</f>
        <v>-</v>
      </c>
      <c r="D77" s="545" t="str">
        <f>IF(計算シート!C64=0,計算シート!D43,"-")</f>
        <v>-</v>
      </c>
      <c r="E77" s="283"/>
      <c r="F77" s="284"/>
      <c r="G77" s="39"/>
      <c r="H77" s="284"/>
      <c r="I77" s="274"/>
      <c r="J77" s="274"/>
      <c r="K77" s="274"/>
      <c r="L77" s="39"/>
      <c r="M77" s="538"/>
      <c r="N77" s="538"/>
      <c r="O77" s="274"/>
      <c r="P77" s="39"/>
      <c r="Q77" s="39"/>
      <c r="R77" s="76" t="s">
        <v>896</v>
      </c>
    </row>
    <row r="78" spans="1:18">
      <c r="A78" s="598" t="s">
        <v>958</v>
      </c>
      <c r="B78" s="598"/>
      <c r="C78" s="598"/>
      <c r="D78" s="598"/>
      <c r="E78" s="598"/>
      <c r="F78" s="598"/>
      <c r="G78" s="598"/>
      <c r="H78" s="598"/>
      <c r="I78" s="598"/>
      <c r="J78" s="598"/>
      <c r="K78" s="598"/>
      <c r="L78" s="598"/>
      <c r="M78" s="598"/>
      <c r="N78" s="598"/>
      <c r="O78" s="598"/>
      <c r="P78" s="39"/>
      <c r="Q78" s="39"/>
    </row>
    <row r="79" spans="1:18">
      <c r="A79" s="39"/>
      <c r="B79" s="403" t="s">
        <v>1086</v>
      </c>
      <c r="C79" s="39"/>
      <c r="D79" s="39"/>
      <c r="E79" s="39"/>
      <c r="F79" s="39"/>
      <c r="G79" s="39"/>
      <c r="H79" s="39"/>
      <c r="I79" s="39"/>
      <c r="J79" s="39"/>
      <c r="K79" s="39"/>
      <c r="L79" s="39"/>
      <c r="M79" s="39"/>
      <c r="N79" s="39"/>
      <c r="O79" s="39"/>
      <c r="P79" s="39"/>
      <c r="Q79" s="39"/>
    </row>
    <row r="80" spans="1:18">
      <c r="A80" s="39"/>
      <c r="B80" s="403" t="s">
        <v>1087</v>
      </c>
      <c r="C80" s="39"/>
      <c r="D80" s="39"/>
      <c r="E80" s="39"/>
      <c r="F80" s="39"/>
      <c r="G80" s="39"/>
      <c r="H80" s="39"/>
      <c r="I80" s="39"/>
      <c r="J80" s="39"/>
      <c r="K80" s="39"/>
      <c r="L80" s="39"/>
      <c r="M80" s="39"/>
      <c r="N80" s="39"/>
      <c r="O80" s="39"/>
      <c r="P80" s="39"/>
      <c r="Q80" s="39"/>
    </row>
    <row r="81" spans="1:17" ht="13.8" thickBot="1">
      <c r="A81" s="413"/>
      <c r="B81" s="412" t="str">
        <f>$F$33&amp;"の特定親族（１人目）"</f>
        <v>生計維持者１の特定親族（１人目）</v>
      </c>
      <c r="C81" s="413"/>
      <c r="D81" s="413"/>
      <c r="E81" s="413"/>
      <c r="F81" s="413"/>
      <c r="G81" s="413"/>
      <c r="H81" s="413"/>
      <c r="I81" s="412" t="str">
        <f>$L$33&amp;"の特定親族（１人目）"</f>
        <v>の特定親族（１人目）</v>
      </c>
      <c r="J81" s="413"/>
      <c r="K81" s="413"/>
      <c r="L81" s="412"/>
      <c r="M81" s="413"/>
      <c r="N81" s="413"/>
      <c r="O81" s="413"/>
      <c r="P81" s="413"/>
      <c r="Q81" s="413"/>
    </row>
    <row r="82" spans="1:17" ht="13.8" thickBot="1">
      <c r="A82" s="412"/>
      <c r="B82" s="599" t="s">
        <v>217</v>
      </c>
      <c r="C82" s="600"/>
      <c r="D82" s="601"/>
      <c r="E82" s="414"/>
      <c r="F82" s="415" t="s">
        <v>49</v>
      </c>
      <c r="G82" s="412"/>
      <c r="H82" s="412"/>
      <c r="I82" s="412"/>
      <c r="J82" s="412"/>
      <c r="K82" s="412"/>
      <c r="L82" s="415" t="s">
        <v>49</v>
      </c>
      <c r="M82" s="412"/>
      <c r="N82" s="413"/>
      <c r="O82" s="413"/>
      <c r="P82" s="413"/>
      <c r="Q82" s="413"/>
    </row>
    <row r="83" spans="1:17" ht="13.8" thickBot="1">
      <c r="A83" s="412"/>
      <c r="B83" s="599" t="s">
        <v>219</v>
      </c>
      <c r="C83" s="600"/>
      <c r="D83" s="601"/>
      <c r="E83" s="416"/>
      <c r="F83" s="417">
        <v>0</v>
      </c>
      <c r="G83" s="412" t="str">
        <f>MID(F82,SEARCH("(",F82)+1,3)</f>
        <v>JPY</v>
      </c>
      <c r="H83" s="413"/>
      <c r="I83" s="413"/>
      <c r="J83" s="413"/>
      <c r="K83" s="413"/>
      <c r="L83" s="417">
        <v>0</v>
      </c>
      <c r="M83" s="412" t="s">
        <v>446</v>
      </c>
      <c r="N83" s="413"/>
      <c r="O83" s="413"/>
      <c r="P83" s="413"/>
      <c r="Q83" s="413"/>
    </row>
    <row r="84" spans="1:17" ht="13.8" thickBot="1">
      <c r="A84" s="412"/>
      <c r="B84" s="418" t="s">
        <v>959</v>
      </c>
      <c r="C84" s="419"/>
      <c r="D84" s="419"/>
      <c r="E84" s="420"/>
      <c r="F84" s="415" t="s">
        <v>49</v>
      </c>
      <c r="G84" s="412"/>
      <c r="H84" s="413"/>
      <c r="I84" s="413"/>
      <c r="J84" s="413"/>
      <c r="K84" s="413"/>
      <c r="L84" s="415" t="s">
        <v>49</v>
      </c>
      <c r="M84" s="421"/>
      <c r="N84" s="413"/>
      <c r="O84" s="413"/>
      <c r="P84" s="413"/>
      <c r="Q84" s="413"/>
    </row>
    <row r="85" spans="1:17" ht="13.8" thickBot="1">
      <c r="A85" s="412"/>
      <c r="B85" s="422" t="s">
        <v>960</v>
      </c>
      <c r="C85" s="416"/>
      <c r="D85" s="423"/>
      <c r="E85" s="420"/>
      <c r="F85" s="417">
        <v>0</v>
      </c>
      <c r="G85" s="412" t="str">
        <f>MID(F84,SEARCH("(",F84)+1,3)</f>
        <v>JPY</v>
      </c>
      <c r="H85" s="413"/>
      <c r="I85" s="413"/>
      <c r="J85" s="413"/>
      <c r="K85" s="413"/>
      <c r="L85" s="417">
        <v>0</v>
      </c>
      <c r="M85" s="421" t="s">
        <v>446</v>
      </c>
      <c r="N85" s="413"/>
      <c r="O85" s="413"/>
      <c r="P85" s="413"/>
      <c r="Q85" s="413"/>
    </row>
    <row r="86" spans="1:17">
      <c r="A86" s="412"/>
      <c r="B86" s="413"/>
      <c r="C86" s="413"/>
      <c r="D86" s="413"/>
      <c r="E86" s="413"/>
      <c r="F86" s="413"/>
      <c r="G86" s="413"/>
      <c r="H86" s="413"/>
      <c r="I86" s="413"/>
      <c r="J86" s="413"/>
      <c r="K86" s="413"/>
      <c r="L86" s="413"/>
      <c r="M86" s="413"/>
      <c r="N86" s="413"/>
      <c r="O86" s="413"/>
      <c r="P86" s="413"/>
      <c r="Q86" s="413"/>
    </row>
    <row r="87" spans="1:17" ht="13.8" thickBot="1">
      <c r="A87" s="412"/>
      <c r="B87" s="412" t="str">
        <f>$F$33&amp;"の特定親族（２人目）"</f>
        <v>生計維持者１の特定親族（２人目）</v>
      </c>
      <c r="C87" s="413"/>
      <c r="D87" s="413"/>
      <c r="E87" s="413"/>
      <c r="F87" s="413"/>
      <c r="G87" s="413"/>
      <c r="H87" s="413"/>
      <c r="I87" s="412" t="str">
        <f>$L$33&amp;"の特定親族（２人目）"</f>
        <v>の特定親族（２人目）</v>
      </c>
      <c r="J87" s="413"/>
      <c r="K87" s="413"/>
      <c r="L87" s="412"/>
      <c r="M87" s="413"/>
      <c r="N87" s="413"/>
      <c r="O87" s="413"/>
      <c r="P87" s="413"/>
      <c r="Q87" s="413"/>
    </row>
    <row r="88" spans="1:17" ht="13.8" thickBot="1">
      <c r="A88" s="412"/>
      <c r="B88" s="599" t="s">
        <v>217</v>
      </c>
      <c r="C88" s="600"/>
      <c r="D88" s="601"/>
      <c r="E88" s="414"/>
      <c r="F88" s="415" t="s">
        <v>49</v>
      </c>
      <c r="G88" s="412"/>
      <c r="H88" s="412"/>
      <c r="I88" s="412"/>
      <c r="J88" s="412"/>
      <c r="K88" s="412"/>
      <c r="L88" s="415" t="s">
        <v>49</v>
      </c>
      <c r="M88" s="412"/>
      <c r="N88" s="413"/>
      <c r="O88" s="413"/>
      <c r="P88" s="413"/>
      <c r="Q88" s="413"/>
    </row>
    <row r="89" spans="1:17" ht="13.8" thickBot="1">
      <c r="A89" s="412"/>
      <c r="B89" s="599" t="s">
        <v>219</v>
      </c>
      <c r="C89" s="600"/>
      <c r="D89" s="601"/>
      <c r="E89" s="416"/>
      <c r="F89" s="417">
        <v>0</v>
      </c>
      <c r="G89" s="412" t="str">
        <f>MID(F88,SEARCH("(",F88)+1,3)</f>
        <v>JPY</v>
      </c>
      <c r="H89" s="413"/>
      <c r="I89" s="413"/>
      <c r="J89" s="413"/>
      <c r="K89" s="413"/>
      <c r="L89" s="417">
        <v>0</v>
      </c>
      <c r="M89" s="412" t="str">
        <f>MID(L88,SEARCH("(",L88)+1,3)</f>
        <v>JPY</v>
      </c>
      <c r="N89" s="413"/>
      <c r="O89" s="413"/>
      <c r="P89" s="413"/>
      <c r="Q89" s="413"/>
    </row>
    <row r="90" spans="1:17" ht="13.8" thickBot="1">
      <c r="A90" s="412"/>
      <c r="B90" s="418" t="s">
        <v>959</v>
      </c>
      <c r="C90" s="419"/>
      <c r="D90" s="419"/>
      <c r="E90" s="420"/>
      <c r="F90" s="415" t="s">
        <v>49</v>
      </c>
      <c r="G90" s="412"/>
      <c r="H90" s="413"/>
      <c r="I90" s="413"/>
      <c r="J90" s="413"/>
      <c r="K90" s="413"/>
      <c r="L90" s="415" t="s">
        <v>49</v>
      </c>
      <c r="M90" s="421"/>
      <c r="N90" s="413"/>
      <c r="O90" s="413"/>
      <c r="P90" s="413"/>
      <c r="Q90" s="413"/>
    </row>
    <row r="91" spans="1:17" ht="13.8" thickBot="1">
      <c r="A91" s="412"/>
      <c r="B91" s="422" t="s">
        <v>960</v>
      </c>
      <c r="C91" s="416"/>
      <c r="D91" s="423"/>
      <c r="E91" s="420"/>
      <c r="F91" s="417">
        <v>0</v>
      </c>
      <c r="G91" s="412" t="str">
        <f>MID(F90,SEARCH("(",F90)+1,3)</f>
        <v>JPY</v>
      </c>
      <c r="H91" s="413"/>
      <c r="I91" s="413"/>
      <c r="J91" s="413"/>
      <c r="K91" s="413"/>
      <c r="L91" s="417">
        <v>0</v>
      </c>
      <c r="M91" s="412" t="str">
        <f>MID(L90,SEARCH("(",L90)+1,3)</f>
        <v>JPY</v>
      </c>
      <c r="N91" s="413"/>
      <c r="O91" s="413"/>
      <c r="P91" s="413"/>
      <c r="Q91" s="413"/>
    </row>
    <row r="92" spans="1:17">
      <c r="A92" s="412"/>
      <c r="B92" s="413"/>
      <c r="C92" s="413"/>
      <c r="D92" s="413"/>
      <c r="E92" s="413"/>
      <c r="F92" s="413"/>
      <c r="G92" s="413"/>
      <c r="H92" s="413"/>
      <c r="I92" s="413"/>
      <c r="J92" s="413"/>
      <c r="K92" s="413"/>
      <c r="L92" s="413"/>
      <c r="M92" s="413"/>
      <c r="N92" s="413"/>
      <c r="O92" s="413"/>
      <c r="P92" s="413"/>
      <c r="Q92" s="413"/>
    </row>
    <row r="93" spans="1:17" ht="13.8" thickBot="1">
      <c r="A93" s="412"/>
      <c r="B93" s="412" t="str">
        <f>$F$33&amp;"の特定親族（３人目）"</f>
        <v>生計維持者１の特定親族（３人目）</v>
      </c>
      <c r="C93" s="413"/>
      <c r="D93" s="413"/>
      <c r="E93" s="413"/>
      <c r="F93" s="413"/>
      <c r="G93" s="413"/>
      <c r="H93" s="413"/>
      <c r="I93" s="412" t="str">
        <f>$L$33&amp;"の特定親族（３人目）"</f>
        <v>の特定親族（３人目）</v>
      </c>
      <c r="J93" s="413"/>
      <c r="K93" s="413"/>
      <c r="L93" s="412"/>
      <c r="M93" s="413"/>
      <c r="N93" s="413"/>
      <c r="O93" s="413"/>
      <c r="P93" s="413"/>
      <c r="Q93" s="413"/>
    </row>
    <row r="94" spans="1:17" ht="13.8" thickBot="1">
      <c r="A94" s="412"/>
      <c r="B94" s="599" t="s">
        <v>217</v>
      </c>
      <c r="C94" s="600"/>
      <c r="D94" s="601"/>
      <c r="E94" s="414"/>
      <c r="F94" s="415" t="s">
        <v>49</v>
      </c>
      <c r="G94" s="412"/>
      <c r="H94" s="412"/>
      <c r="I94" s="412"/>
      <c r="J94" s="412"/>
      <c r="K94" s="412"/>
      <c r="L94" s="415" t="s">
        <v>49</v>
      </c>
      <c r="M94" s="412"/>
      <c r="N94" s="413"/>
      <c r="O94" s="413"/>
      <c r="P94" s="413"/>
      <c r="Q94" s="413"/>
    </row>
    <row r="95" spans="1:17" ht="13.8" thickBot="1">
      <c r="A95" s="412"/>
      <c r="B95" s="599" t="s">
        <v>219</v>
      </c>
      <c r="C95" s="600"/>
      <c r="D95" s="601"/>
      <c r="E95" s="416"/>
      <c r="F95" s="417">
        <v>0</v>
      </c>
      <c r="G95" s="412" t="str">
        <f>MID(F94,SEARCH("(",F94)+1,3)</f>
        <v>JPY</v>
      </c>
      <c r="H95" s="413"/>
      <c r="I95" s="413"/>
      <c r="J95" s="413"/>
      <c r="K95" s="413"/>
      <c r="L95" s="417">
        <v>0</v>
      </c>
      <c r="M95" s="412" t="str">
        <f>MID(L94,SEARCH("(",L94)+1,3)</f>
        <v>JPY</v>
      </c>
      <c r="N95" s="413"/>
      <c r="O95" s="413"/>
      <c r="P95" s="413"/>
      <c r="Q95" s="413"/>
    </row>
    <row r="96" spans="1:17" ht="13.8" thickBot="1">
      <c r="A96" s="412"/>
      <c r="B96" s="418" t="s">
        <v>959</v>
      </c>
      <c r="C96" s="419"/>
      <c r="D96" s="419"/>
      <c r="E96" s="420"/>
      <c r="F96" s="415" t="s">
        <v>49</v>
      </c>
      <c r="G96" s="412"/>
      <c r="H96" s="413"/>
      <c r="I96" s="413"/>
      <c r="J96" s="413"/>
      <c r="K96" s="413"/>
      <c r="L96" s="415" t="s">
        <v>49</v>
      </c>
      <c r="M96" s="421"/>
      <c r="N96" s="413"/>
      <c r="O96" s="413"/>
      <c r="P96" s="413"/>
      <c r="Q96" s="413"/>
    </row>
    <row r="97" spans="1:17" ht="13.8" thickBot="1">
      <c r="A97" s="412"/>
      <c r="B97" s="422" t="s">
        <v>960</v>
      </c>
      <c r="C97" s="416"/>
      <c r="D97" s="423"/>
      <c r="E97" s="420"/>
      <c r="F97" s="417">
        <v>0</v>
      </c>
      <c r="G97" s="412" t="str">
        <f>MID(F96,SEARCH("(",F96)+1,3)</f>
        <v>JPY</v>
      </c>
      <c r="H97" s="413"/>
      <c r="I97" s="413"/>
      <c r="J97" s="413"/>
      <c r="K97" s="413"/>
      <c r="L97" s="417">
        <v>0</v>
      </c>
      <c r="M97" s="412" t="str">
        <f>MID(L96,SEARCH("(",L96)+1,3)</f>
        <v>JPY</v>
      </c>
      <c r="N97" s="413"/>
      <c r="O97" s="413"/>
      <c r="P97" s="413"/>
      <c r="Q97" s="413"/>
    </row>
    <row r="98" spans="1:17">
      <c r="A98" s="412"/>
      <c r="B98" s="413"/>
      <c r="C98" s="413"/>
      <c r="D98" s="413"/>
      <c r="E98" s="413"/>
      <c r="F98" s="413"/>
      <c r="G98" s="413"/>
      <c r="H98" s="413"/>
      <c r="I98" s="413"/>
      <c r="J98" s="413"/>
      <c r="K98" s="413"/>
      <c r="L98" s="413"/>
      <c r="M98" s="413"/>
      <c r="N98" s="413"/>
      <c r="O98" s="413"/>
      <c r="P98" s="413"/>
      <c r="Q98" s="413"/>
    </row>
    <row r="99" spans="1:17" ht="13.8" thickBot="1">
      <c r="A99" s="412"/>
      <c r="B99" s="412" t="str">
        <f>$F$33&amp;"の特定親族（４人目）"</f>
        <v>生計維持者１の特定親族（４人目）</v>
      </c>
      <c r="C99" s="413"/>
      <c r="D99" s="413"/>
      <c r="E99" s="413"/>
      <c r="F99" s="413"/>
      <c r="G99" s="413"/>
      <c r="H99" s="413"/>
      <c r="I99" s="412" t="str">
        <f>$L$33&amp;"の特定親族（４人目）"</f>
        <v>の特定親族（４人目）</v>
      </c>
      <c r="J99" s="413"/>
      <c r="K99" s="413"/>
      <c r="L99" s="412"/>
      <c r="M99" s="413"/>
      <c r="N99" s="413"/>
      <c r="O99" s="413"/>
      <c r="P99" s="413"/>
      <c r="Q99" s="413"/>
    </row>
    <row r="100" spans="1:17" ht="13.8" thickBot="1">
      <c r="A100" s="412"/>
      <c r="B100" s="599" t="s">
        <v>217</v>
      </c>
      <c r="C100" s="600"/>
      <c r="D100" s="601"/>
      <c r="E100" s="414"/>
      <c r="F100" s="415" t="s">
        <v>49</v>
      </c>
      <c r="G100" s="412"/>
      <c r="H100" s="412"/>
      <c r="I100" s="412"/>
      <c r="J100" s="412"/>
      <c r="K100" s="412"/>
      <c r="L100" s="415" t="s">
        <v>49</v>
      </c>
      <c r="M100" s="412"/>
      <c r="N100" s="413"/>
      <c r="O100" s="413"/>
      <c r="P100" s="413"/>
      <c r="Q100" s="413"/>
    </row>
    <row r="101" spans="1:17" ht="13.8" thickBot="1">
      <c r="A101" s="412"/>
      <c r="B101" s="599" t="s">
        <v>219</v>
      </c>
      <c r="C101" s="600"/>
      <c r="D101" s="601"/>
      <c r="E101" s="416"/>
      <c r="F101" s="417">
        <v>0</v>
      </c>
      <c r="G101" s="412" t="str">
        <f>MID(F100,SEARCH("(",F100)+1,3)</f>
        <v>JPY</v>
      </c>
      <c r="H101" s="413"/>
      <c r="I101" s="413"/>
      <c r="J101" s="413"/>
      <c r="K101" s="413"/>
      <c r="L101" s="417">
        <v>0</v>
      </c>
      <c r="M101" s="412" t="str">
        <f>MID(L100,SEARCH("(",L100)+1,3)</f>
        <v>JPY</v>
      </c>
      <c r="N101" s="413"/>
      <c r="O101" s="413"/>
      <c r="P101" s="413"/>
      <c r="Q101" s="413"/>
    </row>
    <row r="102" spans="1:17" ht="13.8" thickBot="1">
      <c r="A102" s="412"/>
      <c r="B102" s="418" t="s">
        <v>959</v>
      </c>
      <c r="C102" s="419"/>
      <c r="D102" s="419"/>
      <c r="E102" s="420"/>
      <c r="F102" s="415" t="s">
        <v>49</v>
      </c>
      <c r="G102" s="412"/>
      <c r="H102" s="413"/>
      <c r="I102" s="413"/>
      <c r="J102" s="413"/>
      <c r="K102" s="413"/>
      <c r="L102" s="415" t="s">
        <v>49</v>
      </c>
      <c r="M102" s="421"/>
      <c r="N102" s="413"/>
      <c r="O102" s="413"/>
      <c r="P102" s="413"/>
      <c r="Q102" s="413"/>
    </row>
    <row r="103" spans="1:17" ht="13.8" thickBot="1">
      <c r="A103" s="412"/>
      <c r="B103" s="422" t="s">
        <v>960</v>
      </c>
      <c r="C103" s="416"/>
      <c r="D103" s="423"/>
      <c r="E103" s="420"/>
      <c r="F103" s="417">
        <v>0</v>
      </c>
      <c r="G103" s="412" t="str">
        <f>MID(F102,SEARCH("(",F102)+1,3)</f>
        <v>JPY</v>
      </c>
      <c r="H103" s="413"/>
      <c r="I103" s="413"/>
      <c r="J103" s="413"/>
      <c r="K103" s="413"/>
      <c r="L103" s="417">
        <v>0</v>
      </c>
      <c r="M103" s="412" t="str">
        <f>MID(L102,SEARCH("(",L102)+1,3)</f>
        <v>JPY</v>
      </c>
      <c r="N103" s="413"/>
      <c r="O103" s="413"/>
      <c r="P103" s="413"/>
      <c r="Q103" s="413"/>
    </row>
    <row r="104" spans="1:17">
      <c r="A104" s="412"/>
      <c r="B104" s="413"/>
      <c r="C104" s="413"/>
      <c r="D104" s="413"/>
      <c r="E104" s="413"/>
      <c r="F104" s="413"/>
      <c r="G104" s="413"/>
      <c r="H104" s="413"/>
      <c r="I104" s="413"/>
      <c r="J104" s="413"/>
      <c r="K104" s="413"/>
      <c r="L104" s="413"/>
      <c r="M104" s="413"/>
      <c r="N104" s="413"/>
      <c r="O104" s="413"/>
      <c r="P104" s="413"/>
      <c r="Q104" s="413"/>
    </row>
    <row r="105" spans="1:17" ht="13.8" thickBot="1">
      <c r="A105" s="412"/>
      <c r="B105" s="412" t="str">
        <f>$F$33&amp;"の特定親族（５人目）"</f>
        <v>生計維持者１の特定親族（５人目）</v>
      </c>
      <c r="C105" s="413"/>
      <c r="D105" s="413"/>
      <c r="E105" s="413"/>
      <c r="F105" s="413"/>
      <c r="G105" s="413"/>
      <c r="H105" s="413"/>
      <c r="I105" s="412" t="str">
        <f>$L$33&amp;"の特定親族（５人目）"</f>
        <v>の特定親族（５人目）</v>
      </c>
      <c r="J105" s="413"/>
      <c r="K105" s="413"/>
      <c r="L105" s="412"/>
      <c r="M105" s="413"/>
      <c r="N105" s="413"/>
      <c r="O105" s="413"/>
      <c r="P105" s="413"/>
      <c r="Q105" s="413"/>
    </row>
    <row r="106" spans="1:17" ht="13.8" thickBot="1">
      <c r="A106" s="412"/>
      <c r="B106" s="599" t="s">
        <v>217</v>
      </c>
      <c r="C106" s="600"/>
      <c r="D106" s="601"/>
      <c r="E106" s="414"/>
      <c r="F106" s="415" t="s">
        <v>49</v>
      </c>
      <c r="G106" s="412"/>
      <c r="H106" s="412"/>
      <c r="I106" s="412"/>
      <c r="J106" s="412"/>
      <c r="K106" s="412"/>
      <c r="L106" s="415" t="s">
        <v>49</v>
      </c>
      <c r="M106" s="412"/>
      <c r="N106" s="413"/>
      <c r="O106" s="413"/>
      <c r="P106" s="413"/>
      <c r="Q106" s="413"/>
    </row>
    <row r="107" spans="1:17" ht="13.8" thickBot="1">
      <c r="A107" s="412"/>
      <c r="B107" s="599" t="s">
        <v>219</v>
      </c>
      <c r="C107" s="600"/>
      <c r="D107" s="601"/>
      <c r="E107" s="416"/>
      <c r="F107" s="417">
        <v>0</v>
      </c>
      <c r="G107" s="412" t="str">
        <f>MID(F106,SEARCH("(",F106)+1,3)</f>
        <v>JPY</v>
      </c>
      <c r="H107" s="413"/>
      <c r="I107" s="413"/>
      <c r="J107" s="413"/>
      <c r="K107" s="413"/>
      <c r="L107" s="417">
        <v>0</v>
      </c>
      <c r="M107" s="412" t="str">
        <f>MID(L106,SEARCH("(",L106)+1,3)</f>
        <v>JPY</v>
      </c>
      <c r="N107" s="413"/>
      <c r="O107" s="413"/>
      <c r="P107" s="413"/>
      <c r="Q107" s="413"/>
    </row>
    <row r="108" spans="1:17" ht="13.8" thickBot="1">
      <c r="A108" s="412"/>
      <c r="B108" s="418" t="s">
        <v>959</v>
      </c>
      <c r="C108" s="419"/>
      <c r="D108" s="419"/>
      <c r="E108" s="420"/>
      <c r="F108" s="415" t="s">
        <v>49</v>
      </c>
      <c r="G108" s="412"/>
      <c r="H108" s="413"/>
      <c r="I108" s="413"/>
      <c r="J108" s="413"/>
      <c r="K108" s="413"/>
      <c r="L108" s="415" t="s">
        <v>49</v>
      </c>
      <c r="M108" s="421"/>
      <c r="N108" s="413"/>
      <c r="O108" s="413"/>
      <c r="P108" s="413"/>
      <c r="Q108" s="413"/>
    </row>
    <row r="109" spans="1:17" ht="13.8" thickBot="1">
      <c r="A109" s="412"/>
      <c r="B109" s="422" t="s">
        <v>960</v>
      </c>
      <c r="C109" s="416"/>
      <c r="D109" s="423"/>
      <c r="E109" s="420"/>
      <c r="F109" s="417">
        <v>0</v>
      </c>
      <c r="G109" s="412" t="str">
        <f>MID(F108,SEARCH("(",F108)+1,3)</f>
        <v>JPY</v>
      </c>
      <c r="H109" s="413"/>
      <c r="I109" s="413"/>
      <c r="J109" s="413"/>
      <c r="K109" s="413"/>
      <c r="L109" s="417">
        <v>0</v>
      </c>
      <c r="M109" s="412" t="str">
        <f>MID(L108,SEARCH("(",L108)+1,3)</f>
        <v>JPY</v>
      </c>
      <c r="N109" s="413"/>
      <c r="O109" s="413"/>
      <c r="P109" s="413"/>
      <c r="Q109" s="413"/>
    </row>
    <row r="110" spans="1:17">
      <c r="A110" s="412"/>
      <c r="B110" s="413"/>
      <c r="C110" s="413"/>
      <c r="D110" s="413"/>
      <c r="E110" s="413"/>
      <c r="F110" s="413"/>
      <c r="G110" s="413"/>
      <c r="H110" s="413"/>
      <c r="I110" s="413"/>
      <c r="J110" s="413"/>
      <c r="K110" s="413"/>
      <c r="L110" s="413"/>
      <c r="M110" s="413"/>
      <c r="N110" s="413"/>
      <c r="O110" s="413"/>
      <c r="P110" s="413"/>
      <c r="Q110" s="413"/>
    </row>
    <row r="111" spans="1:17" ht="13.8" thickBot="1">
      <c r="A111" s="412"/>
      <c r="B111" s="412" t="str">
        <f>$F$33&amp;"の特定親族（６人目）"</f>
        <v>生計維持者１の特定親族（６人目）</v>
      </c>
      <c r="C111" s="413"/>
      <c r="D111" s="413"/>
      <c r="E111" s="413"/>
      <c r="F111" s="413"/>
      <c r="G111" s="413"/>
      <c r="H111" s="413"/>
      <c r="I111" s="412" t="str">
        <f>$L$33&amp;"の特定親族（６人目）"</f>
        <v>の特定親族（６人目）</v>
      </c>
      <c r="J111" s="413"/>
      <c r="K111" s="413"/>
      <c r="L111" s="412"/>
      <c r="M111" s="413"/>
      <c r="N111" s="413"/>
      <c r="O111" s="413"/>
      <c r="P111" s="413"/>
      <c r="Q111" s="413"/>
    </row>
    <row r="112" spans="1:17" ht="13.8" thickBot="1">
      <c r="A112" s="412"/>
      <c r="B112" s="599" t="s">
        <v>217</v>
      </c>
      <c r="C112" s="600"/>
      <c r="D112" s="601"/>
      <c r="E112" s="414"/>
      <c r="F112" s="415" t="s">
        <v>49</v>
      </c>
      <c r="G112" s="412"/>
      <c r="H112" s="412"/>
      <c r="I112" s="412"/>
      <c r="J112" s="412"/>
      <c r="K112" s="412"/>
      <c r="L112" s="415" t="s">
        <v>49</v>
      </c>
      <c r="M112" s="412"/>
      <c r="N112" s="413"/>
      <c r="O112" s="413"/>
      <c r="P112" s="413"/>
      <c r="Q112" s="413"/>
    </row>
    <row r="113" spans="1:17" ht="13.8" thickBot="1">
      <c r="A113" s="412"/>
      <c r="B113" s="599" t="s">
        <v>219</v>
      </c>
      <c r="C113" s="600"/>
      <c r="D113" s="601"/>
      <c r="E113" s="416"/>
      <c r="F113" s="417">
        <v>0</v>
      </c>
      <c r="G113" s="412" t="str">
        <f>MID(F112,SEARCH("(",F112)+1,3)</f>
        <v>JPY</v>
      </c>
      <c r="H113" s="413"/>
      <c r="I113" s="413"/>
      <c r="J113" s="413"/>
      <c r="K113" s="413"/>
      <c r="L113" s="417">
        <v>0</v>
      </c>
      <c r="M113" s="412" t="str">
        <f>MID(L112,SEARCH("(",L112)+1,3)</f>
        <v>JPY</v>
      </c>
      <c r="N113" s="413"/>
      <c r="O113" s="413"/>
      <c r="P113" s="413"/>
      <c r="Q113" s="413"/>
    </row>
    <row r="114" spans="1:17" ht="13.8" thickBot="1">
      <c r="A114" s="412"/>
      <c r="B114" s="418" t="s">
        <v>959</v>
      </c>
      <c r="C114" s="419"/>
      <c r="D114" s="419"/>
      <c r="E114" s="420"/>
      <c r="F114" s="415" t="s">
        <v>49</v>
      </c>
      <c r="G114" s="412"/>
      <c r="H114" s="413"/>
      <c r="I114" s="413"/>
      <c r="J114" s="413"/>
      <c r="K114" s="413"/>
      <c r="L114" s="415" t="s">
        <v>49</v>
      </c>
      <c r="M114" s="421"/>
      <c r="N114" s="413"/>
      <c r="O114" s="413"/>
      <c r="P114" s="413"/>
      <c r="Q114" s="413"/>
    </row>
    <row r="115" spans="1:17" ht="13.8" thickBot="1">
      <c r="A115" s="412"/>
      <c r="B115" s="422" t="s">
        <v>960</v>
      </c>
      <c r="C115" s="416"/>
      <c r="D115" s="423"/>
      <c r="E115" s="420"/>
      <c r="F115" s="417">
        <v>0</v>
      </c>
      <c r="G115" s="412" t="str">
        <f>MID(F114,SEARCH("(",F114)+1,3)</f>
        <v>JPY</v>
      </c>
      <c r="H115" s="413"/>
      <c r="I115" s="413"/>
      <c r="J115" s="413"/>
      <c r="K115" s="413"/>
      <c r="L115" s="417">
        <v>0</v>
      </c>
      <c r="M115" s="412" t="str">
        <f>MID(L114,SEARCH("(",L114)+1,3)</f>
        <v>JPY</v>
      </c>
      <c r="N115" s="413"/>
      <c r="O115" s="413"/>
      <c r="P115" s="413"/>
      <c r="Q115" s="413"/>
    </row>
    <row r="116" spans="1:17">
      <c r="A116" s="412"/>
      <c r="B116" s="413"/>
      <c r="C116" s="413"/>
      <c r="D116" s="413"/>
      <c r="E116" s="413"/>
      <c r="F116" s="413"/>
      <c r="G116" s="413"/>
      <c r="H116" s="413"/>
      <c r="I116" s="413"/>
      <c r="J116" s="413"/>
      <c r="K116" s="413"/>
      <c r="L116" s="413"/>
      <c r="M116" s="413"/>
      <c r="N116" s="413"/>
      <c r="O116" s="413"/>
      <c r="P116" s="413"/>
      <c r="Q116" s="413"/>
    </row>
    <row r="117" spans="1:17" ht="13.8" thickBot="1">
      <c r="A117" s="412"/>
      <c r="B117" s="412" t="str">
        <f>$F$33&amp;"の特定親族（７人目）"</f>
        <v>生計維持者１の特定親族（７人目）</v>
      </c>
      <c r="C117" s="413"/>
      <c r="D117" s="413"/>
      <c r="E117" s="413"/>
      <c r="F117" s="413"/>
      <c r="G117" s="413"/>
      <c r="H117" s="413"/>
      <c r="I117" s="412" t="str">
        <f>$L$33&amp;"の特定親族（７人目）"</f>
        <v>の特定親族（７人目）</v>
      </c>
      <c r="J117" s="413"/>
      <c r="K117" s="413"/>
      <c r="L117" s="412"/>
      <c r="M117" s="413"/>
      <c r="N117" s="413"/>
      <c r="O117" s="413"/>
      <c r="P117" s="413"/>
      <c r="Q117" s="413"/>
    </row>
    <row r="118" spans="1:17" ht="13.8" thickBot="1">
      <c r="A118" s="412"/>
      <c r="B118" s="599" t="s">
        <v>217</v>
      </c>
      <c r="C118" s="600"/>
      <c r="D118" s="601"/>
      <c r="E118" s="414"/>
      <c r="F118" s="415" t="s">
        <v>49</v>
      </c>
      <c r="G118" s="412"/>
      <c r="H118" s="412"/>
      <c r="I118" s="412"/>
      <c r="J118" s="412"/>
      <c r="K118" s="412"/>
      <c r="L118" s="415" t="s">
        <v>49</v>
      </c>
      <c r="M118" s="412"/>
      <c r="N118" s="413"/>
      <c r="O118" s="413"/>
      <c r="P118" s="413"/>
      <c r="Q118" s="413"/>
    </row>
    <row r="119" spans="1:17" ht="13.8" thickBot="1">
      <c r="A119" s="412"/>
      <c r="B119" s="599" t="s">
        <v>219</v>
      </c>
      <c r="C119" s="600"/>
      <c r="D119" s="601"/>
      <c r="E119" s="416"/>
      <c r="F119" s="417">
        <v>0</v>
      </c>
      <c r="G119" s="412" t="str">
        <f>MID(F118,SEARCH("(",F118)+1,3)</f>
        <v>JPY</v>
      </c>
      <c r="H119" s="413"/>
      <c r="I119" s="413"/>
      <c r="J119" s="413"/>
      <c r="K119" s="413"/>
      <c r="L119" s="417">
        <v>0</v>
      </c>
      <c r="M119" s="412" t="str">
        <f>MID(L118,SEARCH("(",L118)+1,3)</f>
        <v>JPY</v>
      </c>
      <c r="N119" s="413"/>
      <c r="O119" s="413"/>
      <c r="P119" s="413"/>
      <c r="Q119" s="413"/>
    </row>
    <row r="120" spans="1:17" ht="13.8" thickBot="1">
      <c r="A120" s="412"/>
      <c r="B120" s="418" t="s">
        <v>959</v>
      </c>
      <c r="C120" s="419"/>
      <c r="D120" s="419"/>
      <c r="E120" s="420"/>
      <c r="F120" s="415" t="s">
        <v>49</v>
      </c>
      <c r="G120" s="412"/>
      <c r="H120" s="413"/>
      <c r="I120" s="413"/>
      <c r="J120" s="413"/>
      <c r="K120" s="413"/>
      <c r="L120" s="415" t="s">
        <v>49</v>
      </c>
      <c r="M120" s="421"/>
      <c r="N120" s="413"/>
      <c r="O120" s="413"/>
      <c r="P120" s="413"/>
      <c r="Q120" s="413"/>
    </row>
    <row r="121" spans="1:17" ht="13.8" thickBot="1">
      <c r="A121" s="412"/>
      <c r="B121" s="422" t="s">
        <v>960</v>
      </c>
      <c r="C121" s="416"/>
      <c r="D121" s="423"/>
      <c r="E121" s="420"/>
      <c r="F121" s="417">
        <v>0</v>
      </c>
      <c r="G121" s="412" t="str">
        <f>MID(F120,SEARCH("(",F120)+1,3)</f>
        <v>JPY</v>
      </c>
      <c r="H121" s="413"/>
      <c r="I121" s="413"/>
      <c r="J121" s="413"/>
      <c r="K121" s="413"/>
      <c r="L121" s="417">
        <v>0</v>
      </c>
      <c r="M121" s="412" t="str">
        <f>MID(L120,SEARCH("(",L120)+1,3)</f>
        <v>JPY</v>
      </c>
      <c r="N121" s="413"/>
      <c r="O121" s="413"/>
      <c r="P121" s="413"/>
      <c r="Q121" s="413"/>
    </row>
    <row r="122" spans="1:17">
      <c r="A122" s="412"/>
      <c r="B122" s="413"/>
      <c r="C122" s="413"/>
      <c r="D122" s="413"/>
      <c r="E122" s="413"/>
      <c r="F122" s="413"/>
      <c r="G122" s="413"/>
      <c r="H122" s="413"/>
      <c r="I122" s="413"/>
      <c r="J122" s="413"/>
      <c r="K122" s="413"/>
      <c r="L122" s="413"/>
      <c r="M122" s="413"/>
      <c r="N122" s="413"/>
      <c r="O122" s="413"/>
      <c r="P122" s="413"/>
      <c r="Q122" s="413"/>
    </row>
    <row r="123" spans="1:17" ht="13.8" thickBot="1">
      <c r="A123" s="412"/>
      <c r="B123" s="412" t="str">
        <f>$F$33&amp;"の特定親族（８人目）"</f>
        <v>生計維持者１の特定親族（８人目）</v>
      </c>
      <c r="C123" s="413"/>
      <c r="D123" s="413"/>
      <c r="E123" s="413"/>
      <c r="F123" s="413"/>
      <c r="G123" s="413"/>
      <c r="H123" s="413"/>
      <c r="I123" s="412" t="str">
        <f>$L$33&amp;"の特定親族（８人目）"</f>
        <v>の特定親族（８人目）</v>
      </c>
      <c r="J123" s="413"/>
      <c r="K123" s="413"/>
      <c r="L123" s="412"/>
      <c r="M123" s="413"/>
      <c r="N123" s="413"/>
      <c r="O123" s="413"/>
      <c r="P123" s="413"/>
      <c r="Q123" s="413"/>
    </row>
    <row r="124" spans="1:17" ht="13.8" thickBot="1">
      <c r="A124" s="412"/>
      <c r="B124" s="599" t="s">
        <v>217</v>
      </c>
      <c r="C124" s="600"/>
      <c r="D124" s="601"/>
      <c r="E124" s="414"/>
      <c r="F124" s="415" t="s">
        <v>49</v>
      </c>
      <c r="G124" s="412"/>
      <c r="H124" s="412"/>
      <c r="I124" s="412"/>
      <c r="J124" s="412"/>
      <c r="K124" s="412"/>
      <c r="L124" s="415" t="s">
        <v>49</v>
      </c>
      <c r="M124" s="412"/>
      <c r="N124" s="413"/>
      <c r="O124" s="413"/>
      <c r="P124" s="413"/>
      <c r="Q124" s="413"/>
    </row>
    <row r="125" spans="1:17" ht="13.8" thickBot="1">
      <c r="A125" s="412"/>
      <c r="B125" s="599" t="s">
        <v>219</v>
      </c>
      <c r="C125" s="600"/>
      <c r="D125" s="601"/>
      <c r="E125" s="416"/>
      <c r="F125" s="417">
        <v>0</v>
      </c>
      <c r="G125" s="412" t="str">
        <f>MID(F124,SEARCH("(",F124)+1,3)</f>
        <v>JPY</v>
      </c>
      <c r="H125" s="413"/>
      <c r="I125" s="413"/>
      <c r="J125" s="413"/>
      <c r="K125" s="413"/>
      <c r="L125" s="417">
        <v>0</v>
      </c>
      <c r="M125" s="412" t="str">
        <f>MID(L124,SEARCH("(",L124)+1,3)</f>
        <v>JPY</v>
      </c>
      <c r="N125" s="413"/>
      <c r="O125" s="413"/>
      <c r="P125" s="413"/>
      <c r="Q125" s="413"/>
    </row>
    <row r="126" spans="1:17" ht="13.8" thickBot="1">
      <c r="A126" s="412"/>
      <c r="B126" s="418" t="s">
        <v>959</v>
      </c>
      <c r="C126" s="419"/>
      <c r="D126" s="419"/>
      <c r="E126" s="420"/>
      <c r="F126" s="415" t="s">
        <v>49</v>
      </c>
      <c r="G126" s="412"/>
      <c r="H126" s="413"/>
      <c r="I126" s="413"/>
      <c r="J126" s="413"/>
      <c r="K126" s="413"/>
      <c r="L126" s="415" t="s">
        <v>49</v>
      </c>
      <c r="M126" s="421"/>
      <c r="N126" s="413"/>
      <c r="O126" s="413"/>
      <c r="P126" s="413"/>
      <c r="Q126" s="413"/>
    </row>
    <row r="127" spans="1:17" ht="13.8" thickBot="1">
      <c r="A127" s="412"/>
      <c r="B127" s="422" t="s">
        <v>960</v>
      </c>
      <c r="C127" s="416"/>
      <c r="D127" s="423"/>
      <c r="E127" s="420"/>
      <c r="F127" s="417">
        <v>0</v>
      </c>
      <c r="G127" s="412" t="str">
        <f>MID(F126,SEARCH("(",F126)+1,3)</f>
        <v>JPY</v>
      </c>
      <c r="H127" s="413"/>
      <c r="I127" s="413"/>
      <c r="J127" s="413"/>
      <c r="K127" s="413"/>
      <c r="L127" s="417">
        <v>0</v>
      </c>
      <c r="M127" s="412" t="str">
        <f>MID(L126,SEARCH("(",L126)+1,3)</f>
        <v>JPY</v>
      </c>
      <c r="N127" s="413"/>
      <c r="O127" s="413"/>
      <c r="P127" s="413"/>
      <c r="Q127" s="413"/>
    </row>
    <row r="128" spans="1:17">
      <c r="A128" s="412"/>
      <c r="B128" s="413"/>
      <c r="C128" s="413"/>
      <c r="D128" s="413"/>
      <c r="E128" s="413"/>
      <c r="F128" s="413"/>
      <c r="G128" s="413"/>
      <c r="H128" s="413"/>
      <c r="I128" s="413"/>
      <c r="J128" s="413"/>
      <c r="K128" s="413"/>
      <c r="L128" s="413"/>
      <c r="M128" s="413"/>
      <c r="N128" s="413"/>
      <c r="O128" s="413"/>
      <c r="P128" s="413"/>
      <c r="Q128" s="413"/>
    </row>
    <row r="129" spans="1:17" ht="13.8" thickBot="1">
      <c r="A129" s="412"/>
      <c r="B129" s="412" t="str">
        <f>$F$33&amp;"の特定親族（９人目）"</f>
        <v>生計維持者１の特定親族（９人目）</v>
      </c>
      <c r="C129" s="413"/>
      <c r="D129" s="413"/>
      <c r="E129" s="413"/>
      <c r="F129" s="413"/>
      <c r="G129" s="413"/>
      <c r="H129" s="413"/>
      <c r="I129" s="412" t="str">
        <f>$L$33&amp;"の特定親族（９人目）"</f>
        <v>の特定親族（９人目）</v>
      </c>
      <c r="J129" s="413"/>
      <c r="K129" s="413"/>
      <c r="L129" s="412"/>
      <c r="M129" s="413"/>
      <c r="N129" s="413"/>
      <c r="O129" s="413"/>
      <c r="P129" s="413"/>
      <c r="Q129" s="413"/>
    </row>
    <row r="130" spans="1:17" ht="13.8" thickBot="1">
      <c r="A130" s="412"/>
      <c r="B130" s="599" t="s">
        <v>217</v>
      </c>
      <c r="C130" s="600"/>
      <c r="D130" s="601"/>
      <c r="E130" s="414"/>
      <c r="F130" s="415" t="s">
        <v>49</v>
      </c>
      <c r="G130" s="412"/>
      <c r="H130" s="412"/>
      <c r="I130" s="412"/>
      <c r="J130" s="412"/>
      <c r="K130" s="412"/>
      <c r="L130" s="415" t="s">
        <v>49</v>
      </c>
      <c r="M130" s="412"/>
      <c r="N130" s="413"/>
      <c r="O130" s="413"/>
      <c r="P130" s="413"/>
      <c r="Q130" s="413"/>
    </row>
    <row r="131" spans="1:17" ht="13.8" thickBot="1">
      <c r="A131" s="412"/>
      <c r="B131" s="599" t="s">
        <v>219</v>
      </c>
      <c r="C131" s="600"/>
      <c r="D131" s="601"/>
      <c r="E131" s="416"/>
      <c r="F131" s="417">
        <v>0</v>
      </c>
      <c r="G131" s="412" t="str">
        <f>MID(F130,SEARCH("(",F130)+1,3)</f>
        <v>JPY</v>
      </c>
      <c r="H131" s="413"/>
      <c r="I131" s="413"/>
      <c r="J131" s="413"/>
      <c r="K131" s="413"/>
      <c r="L131" s="417">
        <v>0</v>
      </c>
      <c r="M131" s="412" t="str">
        <f>MID(L130,SEARCH("(",L130)+1,3)</f>
        <v>JPY</v>
      </c>
      <c r="N131" s="413"/>
      <c r="O131" s="413"/>
      <c r="P131" s="413"/>
      <c r="Q131" s="413"/>
    </row>
    <row r="132" spans="1:17" ht="13.8" thickBot="1">
      <c r="A132" s="412"/>
      <c r="B132" s="418" t="s">
        <v>959</v>
      </c>
      <c r="C132" s="419"/>
      <c r="D132" s="419"/>
      <c r="E132" s="420"/>
      <c r="F132" s="415" t="s">
        <v>49</v>
      </c>
      <c r="G132" s="412"/>
      <c r="H132" s="413"/>
      <c r="I132" s="413"/>
      <c r="J132" s="413"/>
      <c r="K132" s="413"/>
      <c r="L132" s="415" t="s">
        <v>49</v>
      </c>
      <c r="M132" s="421"/>
      <c r="N132" s="413"/>
      <c r="O132" s="413"/>
      <c r="P132" s="413"/>
      <c r="Q132" s="413"/>
    </row>
    <row r="133" spans="1:17" ht="13.8" thickBot="1">
      <c r="A133" s="412"/>
      <c r="B133" s="422" t="s">
        <v>960</v>
      </c>
      <c r="C133" s="416"/>
      <c r="D133" s="423"/>
      <c r="E133" s="420"/>
      <c r="F133" s="417">
        <v>0</v>
      </c>
      <c r="G133" s="412" t="str">
        <f>MID(F132,SEARCH("(",F132)+1,3)</f>
        <v>JPY</v>
      </c>
      <c r="H133" s="413"/>
      <c r="I133" s="413"/>
      <c r="J133" s="413"/>
      <c r="K133" s="413"/>
      <c r="L133" s="417">
        <v>0</v>
      </c>
      <c r="M133" s="412" t="str">
        <f>MID(L132,SEARCH("(",L132)+1,3)</f>
        <v>JPY</v>
      </c>
      <c r="N133" s="413"/>
      <c r="O133" s="413"/>
      <c r="P133" s="413"/>
      <c r="Q133" s="413"/>
    </row>
  </sheetData>
  <sheetProtection algorithmName="SHA-512" hashValue="gzfajiyuJdLMU1uy/MAKANzIfgHucKgeF9jV55nVHkl65k0TLMRofGxHhqQWKAb+3dnVmWACMq7GX7AKey/Dwg==" saltValue="v2whun2ellPdzAbDfS57bw==" spinCount="100000" sheet="1" objects="1" scenarios="1"/>
  <protectedRanges>
    <protectedRange sqref="L82:L85 L88:L91 L94:L97 L100:L103 L106:L109 L112:L115 L118:L121 L124:L127 L130:L133" name="範囲2_2"/>
    <protectedRange sqref="F82:F85 F88:F91 F94:F97 F100:F103 F106:F109 F112:F115 F118:F121 F124:F127 F130:F133" name="範囲2_1"/>
    <protectedRange sqref="L82:L85 F82:F85 F88:F91 F94:F97 F100:F103 F106:F109 F112:F115 F118:F121 F124:F127 F130:F133 L88:L91 L94:L97 L100:L103 L106:L109 L112:L115 L118:L121 L124:L127 L130:L133" name="範囲1_3"/>
    <protectedRange sqref="L54" name="範囲1_2"/>
    <protectedRange sqref="F54" name="範囲1_1"/>
    <protectedRange sqref="D10 D11:E18 F24:F31 F35:F40 H11 F43:F48 F51:F53 L8:M8 N55 H55 L51:L53 L43:L48 I13:L13 L10:N10 I15:I17 L35 L39 J11:N11 F55:F60 L55:L60" name="範囲1"/>
  </protectedRanges>
  <mergeCells count="76">
    <mergeCell ref="B119:D119"/>
    <mergeCell ref="B124:D124"/>
    <mergeCell ref="B125:D125"/>
    <mergeCell ref="B130:D130"/>
    <mergeCell ref="B131:D131"/>
    <mergeCell ref="B106:D106"/>
    <mergeCell ref="B107:D107"/>
    <mergeCell ref="B112:D112"/>
    <mergeCell ref="B113:D113"/>
    <mergeCell ref="B118:D118"/>
    <mergeCell ref="B89:D89"/>
    <mergeCell ref="B94:D94"/>
    <mergeCell ref="B95:D95"/>
    <mergeCell ref="B100:D100"/>
    <mergeCell ref="B101:D101"/>
    <mergeCell ref="B88:D88"/>
    <mergeCell ref="B60:D60"/>
    <mergeCell ref="B56:D56"/>
    <mergeCell ref="B57:D57"/>
    <mergeCell ref="B58:D58"/>
    <mergeCell ref="B59:D59"/>
    <mergeCell ref="N56:O56"/>
    <mergeCell ref="B54:D54"/>
    <mergeCell ref="A78:O78"/>
    <mergeCell ref="B82:D82"/>
    <mergeCell ref="B83:D83"/>
    <mergeCell ref="I74:J74"/>
    <mergeCell ref="H56:I56"/>
    <mergeCell ref="B55:D55"/>
    <mergeCell ref="B30:D30"/>
    <mergeCell ref="B39:D39"/>
    <mergeCell ref="B40:D40"/>
    <mergeCell ref="B43:D43"/>
    <mergeCell ref="B44:D44"/>
    <mergeCell ref="B45:D45"/>
    <mergeCell ref="B46:D46"/>
    <mergeCell ref="B51:D51"/>
    <mergeCell ref="B52:D52"/>
    <mergeCell ref="B53:D53"/>
    <mergeCell ref="J26:M26"/>
    <mergeCell ref="J27:M27"/>
    <mergeCell ref="G17:H17"/>
    <mergeCell ref="B38:D38"/>
    <mergeCell ref="B31:D31"/>
    <mergeCell ref="B35:D35"/>
    <mergeCell ref="B36:D36"/>
    <mergeCell ref="B37:D37"/>
    <mergeCell ref="B26:D26"/>
    <mergeCell ref="B27:D27"/>
    <mergeCell ref="B28:D28"/>
    <mergeCell ref="B29:D29"/>
    <mergeCell ref="B25:D25"/>
    <mergeCell ref="J28:M28"/>
    <mergeCell ref="J29:M29"/>
    <mergeCell ref="J30:M30"/>
    <mergeCell ref="B23:D23"/>
    <mergeCell ref="B24:D24"/>
    <mergeCell ref="L8:N8"/>
    <mergeCell ref="L9:N9"/>
    <mergeCell ref="I15:J15"/>
    <mergeCell ref="I17:J17"/>
    <mergeCell ref="I13:L13"/>
    <mergeCell ref="J11:N11"/>
    <mergeCell ref="K17:N17"/>
    <mergeCell ref="H8:K8"/>
    <mergeCell ref="H10:K10"/>
    <mergeCell ref="G13:H13"/>
    <mergeCell ref="G15:H15"/>
    <mergeCell ref="L10:N10"/>
    <mergeCell ref="D11:F11"/>
    <mergeCell ref="D13:F13"/>
    <mergeCell ref="D15:F15"/>
    <mergeCell ref="D17:F17"/>
    <mergeCell ref="A1:O1"/>
    <mergeCell ref="B5:O6"/>
    <mergeCell ref="O2:Q3"/>
  </mergeCells>
  <phoneticPr fontId="2"/>
  <conditionalFormatting sqref="A81:G86">
    <cfRule type="expression" dxfId="153" priority="14">
      <formula>$F$54&lt;1</formula>
    </cfRule>
  </conditionalFormatting>
  <conditionalFormatting sqref="A87:G92">
    <cfRule type="expression" dxfId="152" priority="15">
      <formula>$F$54&lt;2</formula>
    </cfRule>
  </conditionalFormatting>
  <conditionalFormatting sqref="A93:G98">
    <cfRule type="expression" dxfId="151" priority="16">
      <formula>$F$54&lt;3</formula>
    </cfRule>
  </conditionalFormatting>
  <conditionalFormatting sqref="A99:G104">
    <cfRule type="expression" dxfId="150" priority="17">
      <formula>$F$54&lt;4</formula>
    </cfRule>
  </conditionalFormatting>
  <conditionalFormatting sqref="A105:G110">
    <cfRule type="expression" dxfId="149" priority="18">
      <formula>$F$54&lt;5</formula>
    </cfRule>
  </conditionalFormatting>
  <conditionalFormatting sqref="A111:G116">
    <cfRule type="expression" dxfId="148" priority="19">
      <formula>$F$54&lt;6</formula>
    </cfRule>
  </conditionalFormatting>
  <conditionalFormatting sqref="A117:G122">
    <cfRule type="expression" dxfId="147" priority="20">
      <formula>$F$54&lt;7</formula>
    </cfRule>
  </conditionalFormatting>
  <conditionalFormatting sqref="A123:G128">
    <cfRule type="expression" dxfId="146" priority="21">
      <formula>$F$54&lt;8</formula>
    </cfRule>
  </conditionalFormatting>
  <conditionalFormatting sqref="A129:G133">
    <cfRule type="expression" dxfId="145" priority="22">
      <formula>$F$54&lt;9</formula>
    </cfRule>
  </conditionalFormatting>
  <conditionalFormatting sqref="A78:Q80">
    <cfRule type="expression" dxfId="144" priority="4">
      <formula>$F$54+$L$54&lt;1</formula>
    </cfRule>
  </conditionalFormatting>
  <conditionalFormatting sqref="B26 E26:F26">
    <cfRule type="expression" dxfId="142" priority="95">
      <formula>$F$25&lt;&gt;"特別の障がい者である"</formula>
    </cfRule>
  </conditionalFormatting>
  <conditionalFormatting sqref="B28:B31 E28:G31">
    <cfRule type="expression" dxfId="141" priority="92">
      <formula>$F$27="いいえ"</formula>
    </cfRule>
  </conditionalFormatting>
  <conditionalFormatting sqref="B40 L40">
    <cfRule type="expression" dxfId="140" priority="84">
      <formula>$F$36="はい"</formula>
    </cfRule>
  </conditionalFormatting>
  <conditionalFormatting sqref="B87">
    <cfRule type="expression" dxfId="139" priority="1">
      <formula>$F$54&lt;1</formula>
    </cfRule>
  </conditionalFormatting>
  <conditionalFormatting sqref="B17:K17">
    <cfRule type="expression" dxfId="136" priority="41">
      <formula>$I$15="その他"</formula>
    </cfRule>
  </conditionalFormatting>
  <conditionalFormatting sqref="E40:I40">
    <cfRule type="expression" dxfId="132" priority="49">
      <formula>$F$36="はい"</formula>
    </cfRule>
  </conditionalFormatting>
  <conditionalFormatting sqref="G37:G38 O51:O54 N52:N54 N55:O55">
    <cfRule type="expression" dxfId="126" priority="50">
      <formula>$F$36="いいえ"</formula>
    </cfRule>
  </conditionalFormatting>
  <conditionalFormatting sqref="H81:Q86">
    <cfRule type="expression" dxfId="123" priority="5">
      <formula>$L$54&lt;1</formula>
    </cfRule>
  </conditionalFormatting>
  <conditionalFormatting sqref="H87:Q92">
    <cfRule type="expression" dxfId="122" priority="6">
      <formula>$L$54&lt;2</formula>
    </cfRule>
  </conditionalFormatting>
  <conditionalFormatting sqref="H93:Q98">
    <cfRule type="expression" dxfId="121" priority="7">
      <formula>$L$54&lt;3</formula>
    </cfRule>
  </conditionalFormatting>
  <conditionalFormatting sqref="H99:Q104">
    <cfRule type="expression" dxfId="120" priority="8">
      <formula>$L$54&lt;4</formula>
    </cfRule>
  </conditionalFormatting>
  <conditionalFormatting sqref="H105:Q110">
    <cfRule type="expression" dxfId="119" priority="9">
      <formula>$L$54&lt;5</formula>
    </cfRule>
  </conditionalFormatting>
  <conditionalFormatting sqref="H111:Q116">
    <cfRule type="expression" dxfId="118" priority="11">
      <formula>$L$54&lt;6</formula>
    </cfRule>
  </conditionalFormatting>
  <conditionalFormatting sqref="H117:Q122">
    <cfRule type="expression" dxfId="117" priority="12">
      <formula>$L$54&lt;7</formula>
    </cfRule>
  </conditionalFormatting>
  <conditionalFormatting sqref="H123:Q128">
    <cfRule type="expression" dxfId="116" priority="13">
      <formula>$L$54&lt;8</formula>
    </cfRule>
  </conditionalFormatting>
  <conditionalFormatting sqref="H129:Q133">
    <cfRule type="expression" dxfId="115" priority="24">
      <formula>$L$54&lt;9</formula>
    </cfRule>
  </conditionalFormatting>
  <conditionalFormatting sqref="K51:L60">
    <cfRule type="expression" dxfId="104" priority="34">
      <formula>$L$33=""</formula>
    </cfRule>
  </conditionalFormatting>
  <conditionalFormatting sqref="K34:M40 B37:B38 E37:F38 H37:I38 K42:M48">
    <cfRule type="expression" dxfId="103" priority="88">
      <formula>$L$33=""</formula>
    </cfRule>
  </conditionalFormatting>
  <conditionalFormatting sqref="L82:M85">
    <cfRule type="expression" dxfId="102" priority="33">
      <formula>$L$33=""</formula>
    </cfRule>
  </conditionalFormatting>
  <conditionalFormatting sqref="L75:O75 F76:F77 M76:O77">
    <cfRule type="expression" dxfId="101" priority="91">
      <formula>OR($F$36="いいえ",$F$37="いいえ")</formula>
    </cfRule>
  </conditionalFormatting>
  <conditionalFormatting sqref="M51:M53 M55:M60">
    <cfRule type="expression" dxfId="100" priority="44">
      <formula>$F$36="いいえ"</formula>
    </cfRule>
  </conditionalFormatting>
  <conditionalFormatting sqref="M88 L89 M90 L91">
    <cfRule type="expression" dxfId="99" priority="32">
      <formula>$L$33=""</formula>
    </cfRule>
  </conditionalFormatting>
  <conditionalFormatting sqref="M94 L95 M96 L97">
    <cfRule type="expression" dxfId="98" priority="31">
      <formula>$L$33=""</formula>
    </cfRule>
  </conditionalFormatting>
  <conditionalFormatting sqref="M100 L101 M102 L103">
    <cfRule type="expression" dxfId="97" priority="30">
      <formula>$L$33=""</formula>
    </cfRule>
  </conditionalFormatting>
  <conditionalFormatting sqref="M106 L107 M108 L109">
    <cfRule type="expression" dxfId="96" priority="29">
      <formula>$L$33=""</formula>
    </cfRule>
  </conditionalFormatting>
  <conditionalFormatting sqref="M112 L113 M114 L115">
    <cfRule type="expression" dxfId="95" priority="28">
      <formula>$L$33=""</formula>
    </cfRule>
  </conditionalFormatting>
  <conditionalFormatting sqref="M118 L119 M120 L121">
    <cfRule type="expression" dxfId="94" priority="27">
      <formula>$L$33=""</formula>
    </cfRule>
  </conditionalFormatting>
  <conditionalFormatting sqref="M124 L125 M126 L127">
    <cfRule type="expression" dxfId="93" priority="26">
      <formula>$L$33=""</formula>
    </cfRule>
  </conditionalFormatting>
  <conditionalFormatting sqref="M130 L131 M132 L133">
    <cfRule type="expression" dxfId="92" priority="25">
      <formula>$L$33=""</formula>
    </cfRule>
  </conditionalFormatting>
  <dataValidations count="7">
    <dataValidation type="whole" allowBlank="1" showInputMessage="1" showErrorMessage="1" sqref="H57:H60 F51:F60 L51:L60 H55 N55 N57:N60" xr:uid="{00000000-0002-0000-0000-000000000000}">
      <formula1>0</formula1>
      <formula2>99</formula2>
    </dataValidation>
    <dataValidation type="decimal" allowBlank="1" showInputMessage="1" showErrorMessage="1" sqref="H46 F44 H44 F46 L46 L44 H51 N51" xr:uid="{00000000-0002-0000-0000-000001000000}">
      <formula1>0</formula1>
      <formula2>999999999999999000000</formula2>
    </dataValidation>
    <dataValidation type="date" allowBlank="1" showInputMessage="1" showErrorMessage="1" sqref="H35 F35 L35" xr:uid="{00000000-0002-0000-0000-000002000000}">
      <formula1>1</formula1>
      <formula2>73051</formula2>
    </dataValidation>
    <dataValidation type="decimal" allowBlank="1" showInputMessage="1" showErrorMessage="1" sqref="H48 F31 L48 F48" xr:uid="{00000000-0002-0000-0000-000003000000}">
      <formula1>-999999999999999000000</formula1>
      <formula2>999999999999999000000</formula2>
    </dataValidation>
    <dataValidation type="date" allowBlank="1" showInputMessage="1" showErrorMessage="1" sqref="N13:N14 I13:I14 L8" xr:uid="{00000000-0002-0000-0000-000004000000}">
      <formula1>1</formula1>
      <formula2>401404</formula2>
    </dataValidation>
    <dataValidation type="whole" allowBlank="1" showInputMessage="1" showErrorMessage="1" sqref="D10:E10" xr:uid="{00000000-0002-0000-0000-000005000000}">
      <formula1>2000</formula1>
      <formula2>9999</formula2>
    </dataValidation>
    <dataValidation type="decimal" allowBlank="1" showInputMessage="1" showErrorMessage="1" sqref="F29" xr:uid="{00000000-0002-0000-0000-000006000000}">
      <formula1>0</formula1>
      <formula2>9.99999999999999E+23</formula2>
    </dataValidation>
  </dataValidations>
  <pageMargins left="0.43307086614173229" right="0.43307086614173229" top="0.35433070866141736" bottom="0.35433070866141736" header="0.11811023622047245" footer="0.11811023622047245"/>
  <pageSetup paperSize="9" fitToHeight="2" orientation="portrait" r:id="rId1"/>
  <rowBreaks count="2" manualBreakCount="2">
    <brk id="75" max="16" man="1"/>
    <brk id="77" max="16383" man="1"/>
  </rowBreaks>
  <colBreaks count="1" manualBreakCount="1">
    <brk id="16" max="130" man="1"/>
  </colBreaks>
  <drawing r:id="rId2"/>
  <extLst>
    <ext xmlns:x14="http://schemas.microsoft.com/office/spreadsheetml/2009/9/main" uri="{78C0D931-6437-407d-A8EE-F0AAD7539E65}">
      <x14:conditionalFormattings>
        <x14:conditionalFormatting xmlns:xm="http://schemas.microsoft.com/office/excel/2006/main">
          <x14:cfRule type="expression" priority="52" id="{CC23516B-02E0-44A0-BC13-F43B116E2360}">
            <xm:f>計算シート!$C$69=1</xm:f>
            <x14:dxf>
              <font>
                <b/>
                <i val="0"/>
                <color auto="1"/>
              </font>
            </x14:dxf>
          </x14:cfRule>
          <xm:sqref>A22</xm:sqref>
        </x14:conditionalFormatting>
        <x14:conditionalFormatting xmlns:xm="http://schemas.microsoft.com/office/excel/2006/main">
          <x14:cfRule type="expression" priority="53" id="{76CC0AD1-56C4-4499-B2E1-6A7EF706FBB4}">
            <xm:f>計算シート!$C$69=1</xm:f>
            <x14:dxf>
              <border>
                <left style="dotted">
                  <color auto="1"/>
                </left>
                <vertical/>
                <horizontal/>
              </border>
            </x14:dxf>
          </x14:cfRule>
          <xm:sqref>A22:A31</xm:sqref>
        </x14:conditionalFormatting>
        <x14:conditionalFormatting xmlns:xm="http://schemas.microsoft.com/office/excel/2006/main">
          <x14:cfRule type="expression" priority="54" id="{F879DC3C-62AB-4857-A7F5-CAED86E4BEB2}">
            <xm:f>計算シート!$C$69=1</xm:f>
            <x14:dxf>
              <border>
                <bottom style="dotted">
                  <color auto="1"/>
                </bottom>
                <vertical/>
                <horizontal/>
              </border>
            </x14:dxf>
          </x14:cfRule>
          <xm:sqref>A31:B31 E31:G31</xm:sqref>
        </x14:conditionalFormatting>
        <x14:conditionalFormatting xmlns:xm="http://schemas.microsoft.com/office/excel/2006/main">
          <x14:cfRule type="expression" priority="61" id="{61E2E4DC-7689-4A1B-97F8-A274F68C9FAE}">
            <xm:f>計算シート!$C$69=1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56" id="{2312C93F-55F7-429F-9AB2-53D58214CE3E}">
            <xm:f>計算シート!$C$69=1</xm:f>
            <x14:dxf>
              <border>
                <left/>
                <right/>
                <top style="dotted">
                  <color auto="1"/>
                </top>
                <bottom/>
                <vertical/>
                <horizontal/>
              </border>
            </x14:dxf>
          </x14:cfRule>
          <xm:sqref>A22:G22</xm:sqref>
        </x14:conditionalFormatting>
        <x14:conditionalFormatting xmlns:xm="http://schemas.microsoft.com/office/excel/2006/main">
          <x14:cfRule type="expression" priority="2" id="{37FC0D04-7F8B-4CF8-AB52-0E1E0F1513B0}">
            <xm:f>計算シート!$C$51=0</xm:f>
            <x14:dxf>
              <font>
                <color theme="0" tint="-4.9989318521683403E-2"/>
              </font>
              <fill>
                <patternFill>
                  <bgColor theme="0" tint="-4.9989318521683403E-2"/>
                </patternFill>
              </fill>
            </x14:dxf>
          </x14:cfRule>
          <xm:sqref>A78:Q133</xm:sqref>
        </x14:conditionalFormatting>
        <x14:conditionalFormatting xmlns:xm="http://schemas.microsoft.com/office/excel/2006/main">
          <x14:cfRule type="expression" priority="153" id="{6B585947-5C5A-444B-9B6A-8D2797203799}">
            <xm:f>計算シート!C69=1</xm:f>
            <x14:dxf>
              <font>
                <color theme="0"/>
              </font>
              <border>
                <left/>
                <right/>
                <top/>
                <bottom/>
                <vertical/>
                <horizontal/>
              </border>
            </x14:dxf>
          </x14:cfRule>
          <xm:sqref>B17:C17</xm:sqref>
        </x14:conditionalFormatting>
        <x14:conditionalFormatting xmlns:xm="http://schemas.microsoft.com/office/excel/2006/main">
          <x14:cfRule type="expression" priority="3" id="{4065FBC6-A73F-4667-B4C1-39F1B86A6772}">
            <xm:f>計算シート!$C$51=0</xm:f>
            <x14:dxf>
              <font>
                <color theme="0" tint="-4.9989318521683403E-2"/>
              </font>
              <fill>
                <patternFill>
                  <bgColor theme="0" tint="-4.9989318521683403E-2"/>
                </patternFill>
              </fill>
            </x14:dxf>
          </x14:cfRule>
          <xm:sqref>B54:G54 L54:M54</xm:sqref>
        </x14:conditionalFormatting>
        <x14:conditionalFormatting xmlns:xm="http://schemas.microsoft.com/office/excel/2006/main">
          <x14:cfRule type="expression" priority="35" id="{AC3079FC-7027-4A9C-8E5A-F988B585EEA1}">
            <xm:f>OR($F$36="いいえ",計算シート!$C$69=1,$I$15="祖父",$I$15="祖母",$I$15="その他")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155" id="{97B28681-1F58-4A94-81B2-544391A07B3E}">
            <xm:f>計算シート!C69=1</xm:f>
            <x14:dxf>
              <border>
                <bottom/>
                <vertical/>
                <horizontal/>
              </border>
            </x14:dxf>
          </x14:cfRule>
          <x14:cfRule type="expression" priority="40" id="{6B585947-5C5A-444B-9B6A-8D2797203799}">
            <xm:f>計算シート!E68=1</xm:f>
            <x14:dxf>
              <font>
                <color theme="0"/>
              </font>
              <border>
                <left/>
                <right/>
                <top/>
                <bottom/>
                <vertical/>
                <horizontal/>
              </border>
            </x14:dxf>
          </x14:cfRule>
          <xm:sqref>D17:K17</xm:sqref>
        </x14:conditionalFormatting>
        <x14:conditionalFormatting xmlns:xm="http://schemas.microsoft.com/office/excel/2006/main">
          <x14:cfRule type="expression" priority="104" id="{AD0A99A7-B1E6-4DC0-ACA6-4C376F396664}">
            <xm:f>計算シート!C69=1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115" id="{9AA7258F-9E79-447C-B5B9-279C57BEB1F1}">
            <xm:f>計算シート!C69=1</xm:f>
            <x14:dxf>
              <border>
                <bottom/>
                <vertical/>
                <horizontal/>
              </border>
            </x14:dxf>
          </x14:cfRule>
          <xm:sqref>G15:G16</xm:sqref>
        </x14:conditionalFormatting>
        <x14:conditionalFormatting xmlns:xm="http://schemas.microsoft.com/office/excel/2006/main">
          <x14:cfRule type="expression" priority="156" id="{97B28681-1F58-4A94-81B2-544391A07B3E}">
            <xm:f>計算シート!G68=1</xm:f>
            <x14:dxf>
              <border>
                <bottom/>
                <vertical/>
                <horizontal/>
              </border>
            </x14:dxf>
          </x14:cfRule>
          <x14:cfRule type="expression" priority="157" id="{9AA7258F-9E79-447C-B5B9-279C57BEB1F1}">
            <xm:f>計算シート!C70=1</xm:f>
            <x14:dxf>
              <border>
                <bottom/>
                <vertical/>
                <horizontal/>
              </border>
            </x14:dxf>
          </x14:cfRule>
          <xm:sqref>G17:G18</xm:sqref>
        </x14:conditionalFormatting>
        <x14:conditionalFormatting xmlns:xm="http://schemas.microsoft.com/office/excel/2006/main">
          <x14:cfRule type="expression" priority="55" id="{3C42DC4B-777F-4F05-B1F0-BA2C10ACA938}">
            <xm:f>計算シート!$C$69=1</xm:f>
            <x14:dxf>
              <border>
                <right style="dotted">
                  <color auto="1"/>
                </right>
                <vertical/>
                <horizontal/>
              </border>
            </x14:dxf>
          </x14:cfRule>
          <xm:sqref>G22:G31</xm:sqref>
        </x14:conditionalFormatting>
        <x14:conditionalFormatting xmlns:xm="http://schemas.microsoft.com/office/excel/2006/main">
          <x14:cfRule type="expression" priority="38" id="{5B7B19F5-6C8B-4AAD-A437-5413B93715BE}">
            <xm:f>計算シート!C69=1</xm:f>
            <x14:dxf>
              <border>
                <left style="hair">
                  <color auto="1"/>
                </left>
                <vertical/>
                <horizontal/>
              </border>
            </x14:dxf>
          </x14:cfRule>
          <xm:sqref>G15:H15</xm:sqref>
        </x14:conditionalFormatting>
        <x14:conditionalFormatting xmlns:xm="http://schemas.microsoft.com/office/excel/2006/main">
          <x14:cfRule type="expression" priority="59" id="{AD0A99A7-B1E6-4DC0-ACA6-4C376F396664}">
            <xm:f>計算シート!D69=1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57" id="{16233E96-A2DD-4726-AB21-E231E6DF204E}">
            <xm:f>計算シート!C69=1</xm:f>
            <x14:dxf>
              <border>
                <bottom/>
                <vertical/>
                <horizontal/>
              </border>
            </x14:dxf>
          </x14:cfRule>
          <xm:sqref>I13:I14</xm:sqref>
        </x14:conditionalFormatting>
        <x14:conditionalFormatting xmlns:xm="http://schemas.microsoft.com/office/excel/2006/main">
          <x14:cfRule type="expression" priority="159" id="{16233E96-A2DD-4726-AB21-E231E6DF204E}">
            <xm:f>計算シート!C70=1</xm:f>
            <x14:dxf>
              <border>
                <bottom/>
                <vertical/>
                <horizontal/>
              </border>
            </x14:dxf>
          </x14:cfRule>
          <x14:cfRule type="expression" priority="158" id="{9AA7258F-9E79-447C-B5B9-279C57BEB1F1}">
            <xm:f>計算シート!F68=1</xm:f>
            <x14:dxf>
              <border>
                <bottom/>
                <vertical/>
                <horizontal/>
              </border>
            </x14:dxf>
          </x14:cfRule>
          <xm:sqref>I15:I16</xm:sqref>
        </x14:conditionalFormatting>
        <x14:conditionalFormatting xmlns:xm="http://schemas.microsoft.com/office/excel/2006/main">
          <x14:cfRule type="expression" priority="231" id="{97B28681-1F58-4A94-81B2-544391A07B3E}">
            <xm:f>計算シート!J68=1</xm:f>
            <x14:dxf>
              <border>
                <bottom/>
                <vertical/>
                <horizontal/>
              </border>
            </x14:dxf>
          </x14:cfRule>
          <x14:cfRule type="expression" priority="232" id="{16233E96-A2DD-4726-AB21-E231E6DF204E}">
            <xm:f>計算シート!C71=1</xm:f>
            <x14:dxf>
              <border>
                <bottom/>
                <vertical/>
                <horizontal/>
              </border>
            </x14:dxf>
          </x14:cfRule>
          <x14:cfRule type="expression" priority="233" id="{9AA7258F-9E79-447C-B5B9-279C57BEB1F1}">
            <xm:f>計算シート!#REF!=1</xm:f>
            <x14:dxf>
              <border>
                <bottom/>
                <vertical/>
                <horizontal/>
              </border>
            </x14:dxf>
          </x14:cfRule>
          <xm:sqref>I17:I18</xm:sqref>
        </x14:conditionalFormatting>
        <x14:conditionalFormatting xmlns:xm="http://schemas.microsoft.com/office/excel/2006/main">
          <x14:cfRule type="expression" priority="163" id="{70422117-EAFE-4A92-A9CC-99DE717F740E}">
            <xm:f>計算シート!C69=1</xm:f>
            <x14:dxf>
              <font>
                <color theme="0"/>
              </font>
              <border>
                <bottom style="hair">
                  <color auto="1"/>
                </bottom>
                <vertical/>
                <horizontal/>
              </border>
            </x14:dxf>
          </x14:cfRule>
          <xm:sqref>I13:L13</xm:sqref>
        </x14:conditionalFormatting>
        <x14:conditionalFormatting xmlns:xm="http://schemas.microsoft.com/office/excel/2006/main">
          <x14:cfRule type="expression" priority="164" id="{800132D5-CFC1-4556-B6F3-8DB9E149395F}">
            <xm:f>計算シート!C69=1</xm:f>
            <x14:dxf>
              <font>
                <color theme="0"/>
              </font>
              <border>
                <bottom style="hair">
                  <color auto="1"/>
                </bottom>
                <vertical/>
                <horizontal/>
              </border>
            </x14:dxf>
          </x14:cfRule>
          <xm:sqref>I17:L17</xm:sqref>
        </x14:conditionalFormatting>
        <x14:conditionalFormatting xmlns:xm="http://schemas.microsoft.com/office/excel/2006/main">
          <x14:cfRule type="expression" priority="165" id="{744B2893-8987-4558-B5FD-3855283A1A50}">
            <xm:f>計算シート!C69=1</xm:f>
            <x14:dxf>
              <font>
                <color theme="0"/>
              </font>
              <border>
                <left/>
                <right/>
                <top/>
                <bottom/>
                <vertical/>
                <horizontal/>
              </border>
            </x14:dxf>
          </x14:cfRule>
          <xm:sqref>I15:N15</xm:sqref>
        </x14:conditionalFormatting>
        <x14:conditionalFormatting xmlns:xm="http://schemas.microsoft.com/office/excel/2006/main">
          <x14:cfRule type="expression" priority="126" id="{16233E96-A2DD-4726-AB21-E231E6DF204E}">
            <xm:f>計算シート!C72=1</xm:f>
            <x14:dxf>
              <border>
                <bottom/>
                <vertical/>
                <horizontal/>
              </border>
            </x14:dxf>
          </x14:cfRule>
          <xm:sqref>K19:L19</xm:sqref>
        </x14:conditionalFormatting>
        <x14:conditionalFormatting xmlns:xm="http://schemas.microsoft.com/office/excel/2006/main">
          <x14:cfRule type="expression" priority="107" id="{16233E96-A2DD-4726-AB21-E231E6DF204E}">
            <xm:f>計算シート!E68=1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計算シート!$F$5:$F$7</xm:f>
          </x14:formula1>
          <xm:sqref>F39 F25 L39</xm:sqref>
        </x14:dataValidation>
        <x14:dataValidation type="list" allowBlank="1" showInputMessage="1" showErrorMessage="1" xr:uid="{00000000-0002-0000-0000-000008000000}">
          <x14:formula1>
            <xm:f>前年レート!$N$12:$N$74</xm:f>
          </x14:formula1>
          <xm:sqref>L47 F43 F47 F30 L43 F28 L45 F45 F82 F84 F88 F90 F94 F96 F100 F102 F106 F108 F112 F114 F118 F120 F124 F126 F130 F132 L88 L90 L94 L96 L100 L102 L106 L108 L112 L114 L118 L120 L124 L126 L130 L132</xm:sqref>
        </x14:dataValidation>
        <x14:dataValidation type="list" allowBlank="1" showInputMessage="1" showErrorMessage="1" xr:uid="{00000000-0002-0000-0000-000009000000}">
          <x14:formula1>
            <xm:f>計算シート!$F$15:$F$22</xm:f>
          </x14:formula1>
          <xm:sqref>L10</xm:sqref>
        </x14:dataValidation>
        <x14:dataValidation type="list" allowBlank="1" showInputMessage="1" showErrorMessage="1" xr:uid="{00000000-0002-0000-0000-00000A000000}">
          <x14:formula1>
            <xm:f>計算シート!$F$3:$F$4</xm:f>
          </x14:formula1>
          <xm:sqref>F26:F27 F36 F38</xm:sqref>
        </x14:dataValidation>
        <x14:dataValidation type="list" allowBlank="1" showInputMessage="1" showErrorMessage="1" xr:uid="{00000000-0002-0000-0000-00000B000000}">
          <x14:formula1>
            <xm:f>計算シート!$F$8:$F$10</xm:f>
          </x14:formula1>
          <xm:sqref>F40</xm:sqref>
        </x14:dataValidation>
        <x14:dataValidation type="list" allowBlank="1" showInputMessage="1" showErrorMessage="1" xr:uid="{00000000-0002-0000-0000-00000C000000}">
          <x14:formula1>
            <xm:f>計算シート!$F$11:$F$13</xm:f>
          </x14:formula1>
          <xm:sqref>F24</xm:sqref>
        </x14:dataValidation>
        <x14:dataValidation type="list" allowBlank="1" showInputMessage="1" showErrorMessage="1" xr:uid="{00000000-0002-0000-0000-00000D000000}">
          <x14:formula1>
            <xm:f>計算シート!$F$24:$F$25</xm:f>
          </x14:formula1>
          <xm:sqref>I17:J17</xm:sqref>
        </x14:dataValidation>
        <x14:dataValidation type="list" allowBlank="1" showInputMessage="1" showErrorMessage="1" xr:uid="{00000000-0002-0000-0000-00000E000000}">
          <x14:formula1>
            <xm:f>計算シート!$F$24:$F$29</xm:f>
          </x14:formula1>
          <xm:sqref>I16:J16 I18:J18</xm:sqref>
        </x14:dataValidation>
        <x14:dataValidation type="list" allowBlank="1" showInputMessage="1" showErrorMessage="1" xr:uid="{00000000-0002-0000-0000-000010000000}">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2"/>
  <sheetViews>
    <sheetView zoomScaleNormal="100" workbookViewId="0">
      <selection activeCell="B29" sqref="B29"/>
    </sheetView>
  </sheetViews>
  <sheetFormatPr defaultRowHeight="13.2"/>
  <cols>
    <col min="2" max="2" width="9.44140625" style="39" bestFit="1" customWidth="1"/>
    <col min="4" max="4" width="46.44140625" bestFit="1" customWidth="1"/>
  </cols>
  <sheetData>
    <row r="1" spans="1:4">
      <c r="A1" s="35" t="s">
        <v>167</v>
      </c>
      <c r="B1" s="34" t="s">
        <v>50</v>
      </c>
      <c r="C1" s="35" t="s">
        <v>51</v>
      </c>
      <c r="D1" s="35" t="s">
        <v>52</v>
      </c>
    </row>
    <row r="2" spans="1:4">
      <c r="A2" s="35">
        <v>1</v>
      </c>
      <c r="B2" s="34">
        <v>9000000</v>
      </c>
      <c r="C2" s="35" t="s">
        <v>53</v>
      </c>
      <c r="D2" s="35" t="s">
        <v>54</v>
      </c>
    </row>
    <row r="3" spans="1:4">
      <c r="A3" s="35">
        <v>2</v>
      </c>
      <c r="B3" s="34">
        <v>9500000</v>
      </c>
      <c r="C3" s="35" t="s">
        <v>53</v>
      </c>
      <c r="D3" s="35" t="s">
        <v>55</v>
      </c>
    </row>
    <row r="4" spans="1:4">
      <c r="A4" s="35">
        <v>3</v>
      </c>
      <c r="B4" s="34">
        <v>10000000</v>
      </c>
      <c r="C4" s="35" t="s">
        <v>53</v>
      </c>
      <c r="D4" s="35" t="s">
        <v>56</v>
      </c>
    </row>
    <row r="5" spans="1:4">
      <c r="A5" s="35">
        <v>4</v>
      </c>
      <c r="B5" s="34">
        <v>480000</v>
      </c>
      <c r="C5" s="35" t="s">
        <v>53</v>
      </c>
      <c r="D5" s="35" t="s">
        <v>57</v>
      </c>
    </row>
    <row r="6" spans="1:4">
      <c r="A6" s="35">
        <v>5</v>
      </c>
      <c r="B6" s="34">
        <v>500000</v>
      </c>
      <c r="C6" s="35" t="s">
        <v>53</v>
      </c>
      <c r="D6" s="35" t="s">
        <v>58</v>
      </c>
    </row>
    <row r="7" spans="1:4">
      <c r="A7" s="35">
        <v>6</v>
      </c>
      <c r="B7" s="34">
        <v>550000</v>
      </c>
      <c r="C7" s="35" t="s">
        <v>53</v>
      </c>
      <c r="D7" s="35" t="s">
        <v>59</v>
      </c>
    </row>
    <row r="8" spans="1:4">
      <c r="A8" s="35">
        <v>7</v>
      </c>
      <c r="B8" s="34">
        <v>1000000</v>
      </c>
      <c r="C8" s="35" t="s">
        <v>53</v>
      </c>
      <c r="D8" s="35" t="s">
        <v>60</v>
      </c>
    </row>
    <row r="9" spans="1:4">
      <c r="A9" s="35">
        <v>8</v>
      </c>
      <c r="B9" s="34">
        <v>1050000</v>
      </c>
      <c r="C9" s="35" t="s">
        <v>53</v>
      </c>
      <c r="D9" s="35" t="s">
        <v>61</v>
      </c>
    </row>
    <row r="10" spans="1:4">
      <c r="A10" s="35">
        <v>9</v>
      </c>
      <c r="B10" s="36">
        <v>1100000</v>
      </c>
      <c r="C10" s="35" t="s">
        <v>53</v>
      </c>
      <c r="D10" s="35" t="s">
        <v>62</v>
      </c>
    </row>
    <row r="11" spans="1:4">
      <c r="A11" s="35">
        <v>10</v>
      </c>
      <c r="B11" s="36">
        <v>1150000</v>
      </c>
      <c r="C11" s="35" t="s">
        <v>53</v>
      </c>
      <c r="D11" s="35" t="s">
        <v>63</v>
      </c>
    </row>
    <row r="12" spans="1:4">
      <c r="A12" s="35">
        <v>11</v>
      </c>
      <c r="B12" s="36">
        <v>1200000</v>
      </c>
      <c r="C12" s="35" t="s">
        <v>53</v>
      </c>
      <c r="D12" s="35" t="s">
        <v>64</v>
      </c>
    </row>
    <row r="13" spans="1:4">
      <c r="A13" s="35">
        <v>12</v>
      </c>
      <c r="B13" s="36">
        <v>1250000</v>
      </c>
      <c r="C13" s="35" t="s">
        <v>53</v>
      </c>
      <c r="D13" s="35" t="s">
        <v>65</v>
      </c>
    </row>
    <row r="14" spans="1:4">
      <c r="A14" s="35">
        <v>13</v>
      </c>
      <c r="B14" s="36">
        <v>1300000</v>
      </c>
      <c r="C14" s="35" t="s">
        <v>53</v>
      </c>
      <c r="D14" s="35" t="s">
        <v>66</v>
      </c>
    </row>
    <row r="15" spans="1:4">
      <c r="A15" s="35">
        <v>14</v>
      </c>
      <c r="B15" s="36">
        <v>1330000</v>
      </c>
      <c r="C15" s="35" t="s">
        <v>53</v>
      </c>
      <c r="D15" s="35" t="s">
        <v>67</v>
      </c>
    </row>
    <row r="16" spans="1:4">
      <c r="A16" s="35">
        <v>15</v>
      </c>
      <c r="B16" s="34">
        <v>551000</v>
      </c>
      <c r="C16" s="35" t="s">
        <v>53</v>
      </c>
      <c r="D16" s="35" t="s">
        <v>68</v>
      </c>
    </row>
    <row r="17" spans="1:4">
      <c r="A17" s="35">
        <v>16</v>
      </c>
      <c r="B17" s="34">
        <v>1619000</v>
      </c>
      <c r="C17" s="35" t="s">
        <v>53</v>
      </c>
      <c r="D17" s="35" t="s">
        <v>69</v>
      </c>
    </row>
    <row r="18" spans="1:4">
      <c r="A18" s="35">
        <v>17</v>
      </c>
      <c r="B18" s="34">
        <v>1620000</v>
      </c>
      <c r="C18" s="35" t="s">
        <v>53</v>
      </c>
      <c r="D18" s="35" t="s">
        <v>70</v>
      </c>
    </row>
    <row r="19" spans="1:4">
      <c r="A19" s="35">
        <v>18</v>
      </c>
      <c r="B19" s="34">
        <v>1622000</v>
      </c>
      <c r="C19" s="35" t="s">
        <v>53</v>
      </c>
      <c r="D19" s="35" t="s">
        <v>71</v>
      </c>
    </row>
    <row r="20" spans="1:4">
      <c r="A20" s="35">
        <v>19</v>
      </c>
      <c r="B20" s="34">
        <v>1624000</v>
      </c>
      <c r="C20" s="35" t="s">
        <v>53</v>
      </c>
      <c r="D20" s="35" t="s">
        <v>72</v>
      </c>
    </row>
    <row r="21" spans="1:4">
      <c r="A21" s="35">
        <v>20</v>
      </c>
      <c r="B21" s="34">
        <v>1628000</v>
      </c>
      <c r="C21" s="35" t="s">
        <v>53</v>
      </c>
      <c r="D21" s="35" t="s">
        <v>73</v>
      </c>
    </row>
    <row r="22" spans="1:4">
      <c r="A22" s="35">
        <v>21</v>
      </c>
      <c r="B22" s="34">
        <v>1800000</v>
      </c>
      <c r="C22" s="35" t="s">
        <v>53</v>
      </c>
      <c r="D22" s="35" t="s">
        <v>74</v>
      </c>
    </row>
    <row r="23" spans="1:4">
      <c r="A23" s="35">
        <v>22</v>
      </c>
      <c r="B23" s="34">
        <v>3600000</v>
      </c>
      <c r="C23" s="35" t="s">
        <v>53</v>
      </c>
      <c r="D23" s="35" t="s">
        <v>75</v>
      </c>
    </row>
    <row r="24" spans="1:4">
      <c r="A24" s="35">
        <v>23</v>
      </c>
      <c r="B24" s="34">
        <v>6600000</v>
      </c>
      <c r="C24" s="35" t="s">
        <v>53</v>
      </c>
      <c r="D24" s="35" t="s">
        <v>76</v>
      </c>
    </row>
    <row r="25" spans="1:4">
      <c r="A25" s="35">
        <v>24</v>
      </c>
      <c r="B25" s="34">
        <v>8500000</v>
      </c>
      <c r="C25" s="35" t="s">
        <v>53</v>
      </c>
      <c r="D25" s="35" t="s">
        <v>77</v>
      </c>
    </row>
    <row r="26" spans="1:4">
      <c r="A26" s="35">
        <v>74</v>
      </c>
      <c r="B26" s="35">
        <v>24000000</v>
      </c>
      <c r="C26" s="35" t="s">
        <v>53</v>
      </c>
      <c r="D26" s="35" t="s">
        <v>476</v>
      </c>
    </row>
    <row r="27" spans="1:4">
      <c r="A27" s="35">
        <v>75</v>
      </c>
      <c r="B27" s="35">
        <v>24500000</v>
      </c>
      <c r="C27" s="35" t="s">
        <v>53</v>
      </c>
      <c r="D27" s="35" t="s">
        <v>477</v>
      </c>
    </row>
    <row r="28" spans="1:4">
      <c r="A28" s="35">
        <v>76</v>
      </c>
      <c r="B28" s="35">
        <v>25000000</v>
      </c>
      <c r="C28" s="35" t="s">
        <v>53</v>
      </c>
      <c r="D28" s="35" t="s">
        <v>478</v>
      </c>
    </row>
    <row r="29" spans="1:4">
      <c r="A29" s="35">
        <v>77</v>
      </c>
      <c r="B29" s="36">
        <v>10000000</v>
      </c>
      <c r="C29" s="35" t="s">
        <v>53</v>
      </c>
      <c r="D29" s="35" t="s">
        <v>479</v>
      </c>
    </row>
    <row r="30" spans="1:4">
      <c r="A30" s="35">
        <v>78</v>
      </c>
      <c r="B30" s="36">
        <v>100000</v>
      </c>
      <c r="C30" s="35" t="s">
        <v>53</v>
      </c>
      <c r="D30" s="35" t="s">
        <v>480</v>
      </c>
    </row>
    <row r="31" spans="1:4">
      <c r="A31" s="163">
        <v>79</v>
      </c>
      <c r="B31" s="428">
        <v>580000</v>
      </c>
      <c r="C31" s="163" t="s">
        <v>53</v>
      </c>
      <c r="D31" s="163" t="s">
        <v>976</v>
      </c>
    </row>
    <row r="32" spans="1:4">
      <c r="A32" s="163">
        <v>80</v>
      </c>
      <c r="B32" s="428">
        <v>1900000</v>
      </c>
      <c r="C32" s="163" t="s">
        <v>53</v>
      </c>
      <c r="D32" s="163" t="s">
        <v>1046</v>
      </c>
    </row>
  </sheetData>
  <phoneticPr fontId="2"/>
  <pageMargins left="0.7" right="0.7" top="0.75" bottom="0.75" header="0.3" footer="0.3"/>
  <pageSetup paperSize="9"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62"/>
  <sheetViews>
    <sheetView zoomScaleNormal="100" workbookViewId="0">
      <selection activeCell="B52" sqref="B52"/>
    </sheetView>
  </sheetViews>
  <sheetFormatPr defaultRowHeight="13.2"/>
  <cols>
    <col min="2" max="2" width="50.21875" bestFit="1" customWidth="1"/>
    <col min="3" max="3" width="9" customWidth="1"/>
    <col min="4" max="4" width="45.77734375" customWidth="1"/>
  </cols>
  <sheetData>
    <row r="1" spans="1:4">
      <c r="A1" s="35" t="s">
        <v>167</v>
      </c>
      <c r="B1" s="35" t="s">
        <v>50</v>
      </c>
      <c r="C1" s="35" t="s">
        <v>51</v>
      </c>
      <c r="D1" s="35" t="s">
        <v>52</v>
      </c>
    </row>
    <row r="2" spans="1:4">
      <c r="A2" s="35">
        <v>1</v>
      </c>
      <c r="B2" s="37">
        <v>0</v>
      </c>
      <c r="C2" s="35" t="s">
        <v>78</v>
      </c>
      <c r="D2" s="35" t="s">
        <v>79</v>
      </c>
    </row>
    <row r="3" spans="1:4">
      <c r="A3" s="35">
        <v>2</v>
      </c>
      <c r="B3" s="37" t="s">
        <v>462</v>
      </c>
      <c r="C3" s="35" t="s">
        <v>78</v>
      </c>
      <c r="D3" s="35" t="s">
        <v>80</v>
      </c>
    </row>
    <row r="4" spans="1:4">
      <c r="A4" s="35">
        <v>3</v>
      </c>
      <c r="B4" s="35">
        <v>1069000</v>
      </c>
      <c r="C4" s="35" t="s">
        <v>78</v>
      </c>
      <c r="D4" s="35" t="s">
        <v>81</v>
      </c>
    </row>
    <row r="5" spans="1:4">
      <c r="A5" s="35">
        <v>4</v>
      </c>
      <c r="B5" s="35">
        <v>1070000</v>
      </c>
      <c r="C5" s="35" t="s">
        <v>78</v>
      </c>
      <c r="D5" s="35" t="s">
        <v>82</v>
      </c>
    </row>
    <row r="6" spans="1:4">
      <c r="A6" s="35">
        <v>5</v>
      </c>
      <c r="B6" s="35">
        <v>1072000</v>
      </c>
      <c r="C6" s="35" t="s">
        <v>78</v>
      </c>
      <c r="D6" s="35" t="s">
        <v>83</v>
      </c>
    </row>
    <row r="7" spans="1:4">
      <c r="A7" s="35">
        <v>6</v>
      </c>
      <c r="B7" s="35">
        <v>1074000</v>
      </c>
      <c r="C7" s="35" t="s">
        <v>78</v>
      </c>
      <c r="D7" s="35" t="s">
        <v>84</v>
      </c>
    </row>
    <row r="8" spans="1:4">
      <c r="A8" s="35">
        <v>7</v>
      </c>
      <c r="B8" s="37" t="s">
        <v>463</v>
      </c>
      <c r="C8" s="35" t="s">
        <v>78</v>
      </c>
      <c r="D8" s="35" t="s">
        <v>85</v>
      </c>
    </row>
    <row r="9" spans="1:4">
      <c r="A9" s="35">
        <v>8</v>
      </c>
      <c r="B9" s="37" t="s">
        <v>464</v>
      </c>
      <c r="C9" s="35" t="s">
        <v>78</v>
      </c>
      <c r="D9" s="35" t="s">
        <v>86</v>
      </c>
    </row>
    <row r="10" spans="1:4">
      <c r="A10" s="35">
        <v>9</v>
      </c>
      <c r="B10" s="37" t="s">
        <v>465</v>
      </c>
      <c r="C10" s="35" t="s">
        <v>78</v>
      </c>
      <c r="D10" s="35" t="s">
        <v>87</v>
      </c>
    </row>
    <row r="11" spans="1:4">
      <c r="A11" s="35">
        <v>10</v>
      </c>
      <c r="B11" s="37" t="s">
        <v>466</v>
      </c>
      <c r="C11" s="35" t="s">
        <v>78</v>
      </c>
      <c r="D11" s="35" t="s">
        <v>88</v>
      </c>
    </row>
    <row r="12" spans="1:4">
      <c r="A12" s="35">
        <v>11</v>
      </c>
      <c r="B12" s="37" t="s">
        <v>468</v>
      </c>
      <c r="C12" s="35" t="s">
        <v>78</v>
      </c>
      <c r="D12" s="35" t="s">
        <v>89</v>
      </c>
    </row>
    <row r="13" spans="1:4">
      <c r="A13" s="35">
        <v>12</v>
      </c>
      <c r="B13" s="37">
        <v>550000</v>
      </c>
      <c r="C13" s="35" t="s">
        <v>53</v>
      </c>
      <c r="D13" s="35" t="s">
        <v>470</v>
      </c>
    </row>
    <row r="14" spans="1:4">
      <c r="A14" s="35">
        <v>13</v>
      </c>
      <c r="B14" s="37">
        <v>-100000</v>
      </c>
      <c r="C14" s="35" t="s">
        <v>53</v>
      </c>
      <c r="D14" s="35" t="s">
        <v>471</v>
      </c>
    </row>
    <row r="15" spans="1:4">
      <c r="A15" s="35">
        <v>14</v>
      </c>
      <c r="B15" s="37">
        <v>80000</v>
      </c>
      <c r="C15" s="35" t="s">
        <v>53</v>
      </c>
      <c r="D15" s="35" t="s">
        <v>472</v>
      </c>
    </row>
    <row r="16" spans="1:4">
      <c r="A16" s="35">
        <v>15</v>
      </c>
      <c r="B16" s="37">
        <v>440000</v>
      </c>
      <c r="C16" s="35" t="s">
        <v>53</v>
      </c>
      <c r="D16" s="35" t="s">
        <v>473</v>
      </c>
    </row>
    <row r="17" spans="1:4">
      <c r="A17" s="35">
        <v>16</v>
      </c>
      <c r="B17" s="37">
        <v>1100000</v>
      </c>
      <c r="C17" s="35" t="s">
        <v>53</v>
      </c>
      <c r="D17" s="35" t="s">
        <v>474</v>
      </c>
    </row>
    <row r="18" spans="1:4">
      <c r="A18" s="35">
        <v>17</v>
      </c>
      <c r="B18" s="37">
        <v>1950000</v>
      </c>
      <c r="C18" s="35" t="s">
        <v>53</v>
      </c>
      <c r="D18" s="35" t="s">
        <v>475</v>
      </c>
    </row>
    <row r="19" spans="1:4">
      <c r="A19" s="35">
        <v>18</v>
      </c>
      <c r="B19" s="37">
        <v>0.6</v>
      </c>
      <c r="C19" s="35" t="s">
        <v>53</v>
      </c>
      <c r="D19" s="35" t="s">
        <v>471</v>
      </c>
    </row>
    <row r="20" spans="1:4">
      <c r="A20" s="35">
        <v>19</v>
      </c>
      <c r="B20" s="37">
        <v>0.7</v>
      </c>
      <c r="C20" s="35" t="s">
        <v>53</v>
      </c>
      <c r="D20" s="35" t="s">
        <v>472</v>
      </c>
    </row>
    <row r="21" spans="1:4">
      <c r="A21" s="35">
        <v>20</v>
      </c>
      <c r="B21" s="37">
        <v>0.8</v>
      </c>
      <c r="C21" s="35" t="s">
        <v>53</v>
      </c>
      <c r="D21" s="35" t="s">
        <v>473</v>
      </c>
    </row>
    <row r="22" spans="1:4">
      <c r="A22" s="35">
        <v>21</v>
      </c>
      <c r="B22" s="37">
        <v>0.9</v>
      </c>
      <c r="C22" s="35" t="s">
        <v>53</v>
      </c>
      <c r="D22" s="35" t="s">
        <v>474</v>
      </c>
    </row>
    <row r="23" spans="1:4">
      <c r="A23" s="35">
        <v>1</v>
      </c>
      <c r="B23" s="34">
        <v>65</v>
      </c>
      <c r="C23" s="35" t="s">
        <v>53</v>
      </c>
      <c r="D23" s="38" t="s">
        <v>90</v>
      </c>
    </row>
    <row r="24" spans="1:4">
      <c r="A24" s="35">
        <v>2</v>
      </c>
      <c r="B24" s="34">
        <v>3300000</v>
      </c>
      <c r="C24" s="35" t="s">
        <v>53</v>
      </c>
      <c r="D24" s="38" t="s">
        <v>91</v>
      </c>
    </row>
    <row r="25" spans="1:4">
      <c r="A25" s="35">
        <v>3</v>
      </c>
      <c r="B25" s="34">
        <v>4100000</v>
      </c>
      <c r="C25" s="35" t="s">
        <v>53</v>
      </c>
      <c r="D25" s="38" t="s">
        <v>92</v>
      </c>
    </row>
    <row r="26" spans="1:4">
      <c r="A26" s="35">
        <v>4</v>
      </c>
      <c r="B26" s="34">
        <v>7700000</v>
      </c>
      <c r="C26" s="35" t="s">
        <v>53</v>
      </c>
      <c r="D26" s="38" t="s">
        <v>93</v>
      </c>
    </row>
    <row r="27" spans="1:4">
      <c r="A27" s="35">
        <v>5</v>
      </c>
      <c r="B27" s="34">
        <v>10000000</v>
      </c>
      <c r="C27" s="35" t="s">
        <v>53</v>
      </c>
      <c r="D27" s="38" t="s">
        <v>94</v>
      </c>
    </row>
    <row r="28" spans="1:4">
      <c r="A28" s="35">
        <v>6</v>
      </c>
      <c r="B28" s="34">
        <v>1300000</v>
      </c>
      <c r="C28" s="35" t="s">
        <v>53</v>
      </c>
      <c r="D28" s="38" t="s">
        <v>95</v>
      </c>
    </row>
    <row r="29" spans="1:4">
      <c r="A29" s="35">
        <v>7</v>
      </c>
      <c r="B29" s="34">
        <v>4100000</v>
      </c>
      <c r="C29" s="35" t="s">
        <v>53</v>
      </c>
      <c r="D29" s="38" t="s">
        <v>96</v>
      </c>
    </row>
    <row r="30" spans="1:4">
      <c r="A30" s="35">
        <v>8</v>
      </c>
      <c r="B30" s="34">
        <v>7700000</v>
      </c>
      <c r="C30" s="35" t="s">
        <v>53</v>
      </c>
      <c r="D30" s="38" t="s">
        <v>97</v>
      </c>
    </row>
    <row r="31" spans="1:4">
      <c r="A31" s="35">
        <v>9</v>
      </c>
      <c r="B31" s="34">
        <v>10000000</v>
      </c>
      <c r="C31" s="35" t="s">
        <v>53</v>
      </c>
      <c r="D31" s="38" t="s">
        <v>98</v>
      </c>
    </row>
    <row r="32" spans="1:4">
      <c r="A32" s="35">
        <v>10</v>
      </c>
      <c r="B32" s="34" t="s">
        <v>99</v>
      </c>
      <c r="C32" s="35" t="s">
        <v>53</v>
      </c>
      <c r="D32" s="38" t="s">
        <v>100</v>
      </c>
    </row>
    <row r="33" spans="1:4">
      <c r="A33" s="35">
        <v>11</v>
      </c>
      <c r="B33" s="34" t="s">
        <v>101</v>
      </c>
      <c r="C33" s="35" t="s">
        <v>53</v>
      </c>
      <c r="D33" s="38" t="s">
        <v>102</v>
      </c>
    </row>
    <row r="34" spans="1:4">
      <c r="A34" s="35">
        <v>12</v>
      </c>
      <c r="B34" s="34" t="s">
        <v>103</v>
      </c>
      <c r="C34" s="35" t="s">
        <v>53</v>
      </c>
      <c r="D34" s="38" t="s">
        <v>104</v>
      </c>
    </row>
    <row r="35" spans="1:4">
      <c r="A35" s="35">
        <v>13</v>
      </c>
      <c r="B35" s="34" t="s">
        <v>105</v>
      </c>
      <c r="C35" s="35" t="s">
        <v>53</v>
      </c>
      <c r="D35" s="38" t="s">
        <v>106</v>
      </c>
    </row>
    <row r="36" spans="1:4">
      <c r="A36" s="35">
        <v>14</v>
      </c>
      <c r="B36" s="34" t="s">
        <v>107</v>
      </c>
      <c r="C36" s="35" t="s">
        <v>53</v>
      </c>
      <c r="D36" s="38" t="s">
        <v>108</v>
      </c>
    </row>
    <row r="37" spans="1:4">
      <c r="A37" s="35">
        <v>15</v>
      </c>
      <c r="B37" s="34" t="s">
        <v>109</v>
      </c>
      <c r="C37" s="35" t="s">
        <v>53</v>
      </c>
      <c r="D37" s="38" t="s">
        <v>110</v>
      </c>
    </row>
    <row r="38" spans="1:4">
      <c r="A38" s="35">
        <v>16</v>
      </c>
      <c r="B38" s="34" t="s">
        <v>101</v>
      </c>
      <c r="C38" s="35" t="s">
        <v>53</v>
      </c>
      <c r="D38" s="38" t="s">
        <v>111</v>
      </c>
    </row>
    <row r="39" spans="1:4">
      <c r="A39" s="35">
        <v>17</v>
      </c>
      <c r="B39" s="34" t="s">
        <v>103</v>
      </c>
      <c r="C39" s="35" t="s">
        <v>53</v>
      </c>
      <c r="D39" s="38" t="s">
        <v>112</v>
      </c>
    </row>
    <row r="40" spans="1:4">
      <c r="A40" s="35">
        <v>18</v>
      </c>
      <c r="B40" s="34" t="s">
        <v>105</v>
      </c>
      <c r="C40" s="35" t="s">
        <v>53</v>
      </c>
      <c r="D40" s="38" t="s">
        <v>113</v>
      </c>
    </row>
    <row r="41" spans="1:4">
      <c r="A41" s="35">
        <v>19</v>
      </c>
      <c r="B41" s="34" t="s">
        <v>107</v>
      </c>
      <c r="C41" s="35" t="s">
        <v>53</v>
      </c>
      <c r="D41" s="38" t="s">
        <v>114</v>
      </c>
    </row>
    <row r="42" spans="1:4">
      <c r="A42" s="35">
        <v>20</v>
      </c>
      <c r="B42" s="34">
        <v>10000000</v>
      </c>
      <c r="C42" s="35" t="s">
        <v>53</v>
      </c>
      <c r="D42" s="38" t="s">
        <v>1026</v>
      </c>
    </row>
    <row r="43" spans="1:4">
      <c r="A43" s="35">
        <v>21</v>
      </c>
      <c r="B43" s="34">
        <v>20000000</v>
      </c>
      <c r="C43" s="35" t="s">
        <v>53</v>
      </c>
      <c r="D43" s="38" t="s">
        <v>1027</v>
      </c>
    </row>
    <row r="44" spans="1:4">
      <c r="A44" s="35">
        <v>22</v>
      </c>
      <c r="B44" s="34">
        <v>100000</v>
      </c>
      <c r="C44" s="35" t="s">
        <v>53</v>
      </c>
      <c r="D44" s="38" t="s">
        <v>1028</v>
      </c>
    </row>
    <row r="45" spans="1:4">
      <c r="A45" s="35">
        <v>23</v>
      </c>
      <c r="B45" s="34">
        <v>200000</v>
      </c>
      <c r="C45" s="35" t="s">
        <v>53</v>
      </c>
      <c r="D45" s="38" t="s">
        <v>1029</v>
      </c>
    </row>
    <row r="46" spans="1:4">
      <c r="A46" s="35">
        <v>24</v>
      </c>
      <c r="B46" s="35">
        <v>1100000</v>
      </c>
      <c r="C46" s="35" t="s">
        <v>53</v>
      </c>
      <c r="D46" s="38" t="s">
        <v>1030</v>
      </c>
    </row>
    <row r="47" spans="1:4">
      <c r="A47" s="35">
        <v>25</v>
      </c>
      <c r="B47" s="35">
        <v>275000</v>
      </c>
      <c r="C47" s="35" t="s">
        <v>53</v>
      </c>
      <c r="D47" s="38" t="s">
        <v>1031</v>
      </c>
    </row>
    <row r="48" spans="1:4">
      <c r="A48" s="35">
        <v>26</v>
      </c>
      <c r="B48" s="35">
        <v>685000</v>
      </c>
      <c r="C48" s="35" t="s">
        <v>53</v>
      </c>
      <c r="D48" s="38" t="s">
        <v>1032</v>
      </c>
    </row>
    <row r="49" spans="1:4">
      <c r="A49" s="35">
        <v>27</v>
      </c>
      <c r="B49" s="35">
        <v>1455000</v>
      </c>
      <c r="C49" s="35" t="s">
        <v>53</v>
      </c>
      <c r="D49" s="38" t="s">
        <v>1033</v>
      </c>
    </row>
    <row r="50" spans="1:4">
      <c r="A50" s="35">
        <v>28</v>
      </c>
      <c r="B50" s="35">
        <v>1995000</v>
      </c>
      <c r="C50" s="35" t="s">
        <v>53</v>
      </c>
      <c r="D50" s="38" t="s">
        <v>1034</v>
      </c>
    </row>
    <row r="51" spans="1:4">
      <c r="A51" s="35">
        <v>29</v>
      </c>
      <c r="B51" s="35">
        <v>600000</v>
      </c>
      <c r="C51" s="35" t="s">
        <v>53</v>
      </c>
      <c r="D51" s="38" t="s">
        <v>1035</v>
      </c>
    </row>
    <row r="52" spans="1:4">
      <c r="A52" s="35">
        <v>30</v>
      </c>
      <c r="B52" s="35">
        <v>275000</v>
      </c>
      <c r="C52" s="35" t="s">
        <v>53</v>
      </c>
      <c r="D52" s="38" t="s">
        <v>1036</v>
      </c>
    </row>
    <row r="53" spans="1:4">
      <c r="A53" s="35">
        <v>31</v>
      </c>
      <c r="B53" s="35">
        <v>685000</v>
      </c>
      <c r="C53" s="35" t="s">
        <v>53</v>
      </c>
      <c r="D53" s="38" t="s">
        <v>1037</v>
      </c>
    </row>
    <row r="54" spans="1:4">
      <c r="A54" s="35">
        <v>32</v>
      </c>
      <c r="B54" s="35">
        <v>1455000</v>
      </c>
      <c r="C54" s="35" t="s">
        <v>53</v>
      </c>
      <c r="D54" s="38" t="s">
        <v>1038</v>
      </c>
    </row>
    <row r="55" spans="1:4">
      <c r="A55" s="35">
        <v>33</v>
      </c>
      <c r="B55" s="429">
        <v>1995000</v>
      </c>
      <c r="C55" s="429" t="s">
        <v>53</v>
      </c>
      <c r="D55" s="38" t="s">
        <v>1039</v>
      </c>
    </row>
    <row r="56" spans="1:4">
      <c r="A56" s="35">
        <v>34</v>
      </c>
      <c r="B56" s="35">
        <v>0.75</v>
      </c>
      <c r="C56" s="35" t="s">
        <v>53</v>
      </c>
      <c r="D56" s="38" t="s">
        <v>1040</v>
      </c>
    </row>
    <row r="57" spans="1:4">
      <c r="A57" s="35">
        <v>35</v>
      </c>
      <c r="B57" s="35">
        <v>0.85</v>
      </c>
      <c r="C57" s="35" t="s">
        <v>53</v>
      </c>
      <c r="D57" s="38" t="s">
        <v>1041</v>
      </c>
    </row>
    <row r="58" spans="1:4">
      <c r="A58" s="35">
        <v>36</v>
      </c>
      <c r="B58" s="35">
        <v>0.95</v>
      </c>
      <c r="C58" s="35" t="s">
        <v>53</v>
      </c>
      <c r="D58" s="38" t="s">
        <v>1042</v>
      </c>
    </row>
    <row r="59" spans="1:4">
      <c r="A59" s="35">
        <v>37</v>
      </c>
      <c r="B59" s="35">
        <v>0.75</v>
      </c>
      <c r="C59" s="35" t="s">
        <v>53</v>
      </c>
      <c r="D59" s="38" t="s">
        <v>1043</v>
      </c>
    </row>
    <row r="60" spans="1:4">
      <c r="A60" s="35">
        <v>38</v>
      </c>
      <c r="B60" s="35">
        <v>0.85</v>
      </c>
      <c r="C60" s="35" t="s">
        <v>53</v>
      </c>
      <c r="D60" s="38" t="s">
        <v>1044</v>
      </c>
    </row>
    <row r="61" spans="1:4">
      <c r="A61" s="35">
        <v>39</v>
      </c>
      <c r="B61" s="35">
        <v>0.95</v>
      </c>
      <c r="C61" s="35" t="s">
        <v>53</v>
      </c>
      <c r="D61" s="38" t="s">
        <v>1045</v>
      </c>
    </row>
    <row r="62" spans="1:4">
      <c r="A62" s="163"/>
      <c r="B62" s="163">
        <v>650000</v>
      </c>
      <c r="C62" s="163" t="s">
        <v>53</v>
      </c>
      <c r="D62" s="163" t="s">
        <v>1047</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3"/>
  <sheetViews>
    <sheetView zoomScaleNormal="100" workbookViewId="0">
      <selection activeCell="B30" sqref="B30"/>
    </sheetView>
  </sheetViews>
  <sheetFormatPr defaultRowHeight="13.2"/>
  <cols>
    <col min="2" max="2" width="50.21875" bestFit="1" customWidth="1"/>
    <col min="3" max="3" width="9" customWidth="1"/>
    <col min="4" max="4" width="45.77734375" customWidth="1"/>
  </cols>
  <sheetData>
    <row r="1" spans="1:4">
      <c r="A1" s="35" t="s">
        <v>167</v>
      </c>
      <c r="B1" s="35" t="s">
        <v>50</v>
      </c>
      <c r="C1" s="35" t="s">
        <v>51</v>
      </c>
      <c r="D1" s="35" t="s">
        <v>52</v>
      </c>
    </row>
    <row r="2" spans="1:4">
      <c r="A2" s="35">
        <v>1</v>
      </c>
      <c r="B2" s="37">
        <v>0</v>
      </c>
      <c r="C2" s="35" t="s">
        <v>78</v>
      </c>
      <c r="D2" s="163" t="s">
        <v>461</v>
      </c>
    </row>
    <row r="3" spans="1:4">
      <c r="A3" s="35">
        <v>2</v>
      </c>
      <c r="B3" s="297" t="s">
        <v>462</v>
      </c>
      <c r="C3" s="35" t="s">
        <v>78</v>
      </c>
      <c r="D3" s="35" t="s">
        <v>80</v>
      </c>
    </row>
    <row r="4" spans="1:4">
      <c r="A4" s="35">
        <v>3</v>
      </c>
      <c r="B4" s="163">
        <v>1069000</v>
      </c>
      <c r="C4" s="163" t="s">
        <v>53</v>
      </c>
      <c r="D4" s="35" t="s">
        <v>81</v>
      </c>
    </row>
    <row r="5" spans="1:4">
      <c r="A5" s="35">
        <v>4</v>
      </c>
      <c r="B5" s="163">
        <v>1070000</v>
      </c>
      <c r="C5" s="163" t="s">
        <v>53</v>
      </c>
      <c r="D5" s="35" t="s">
        <v>82</v>
      </c>
    </row>
    <row r="6" spans="1:4">
      <c r="A6" s="35">
        <v>5</v>
      </c>
      <c r="B6" s="163">
        <v>1072000</v>
      </c>
      <c r="C6" s="163" t="s">
        <v>53</v>
      </c>
      <c r="D6" s="35" t="s">
        <v>83</v>
      </c>
    </row>
    <row r="7" spans="1:4">
      <c r="A7" s="35">
        <v>6</v>
      </c>
      <c r="B7" s="163">
        <v>1074000</v>
      </c>
      <c r="C7" s="163" t="s">
        <v>53</v>
      </c>
      <c r="D7" s="35" t="s">
        <v>84</v>
      </c>
    </row>
    <row r="8" spans="1:4">
      <c r="A8" s="35">
        <v>7</v>
      </c>
      <c r="B8" s="297" t="s">
        <v>463</v>
      </c>
      <c r="C8" s="35" t="s">
        <v>78</v>
      </c>
      <c r="D8" s="35" t="s">
        <v>85</v>
      </c>
    </row>
    <row r="9" spans="1:4">
      <c r="A9" s="35">
        <v>8</v>
      </c>
      <c r="B9" s="297" t="s">
        <v>464</v>
      </c>
      <c r="C9" s="35" t="s">
        <v>78</v>
      </c>
      <c r="D9" s="35" t="s">
        <v>86</v>
      </c>
    </row>
    <row r="10" spans="1:4">
      <c r="A10" s="35">
        <v>9</v>
      </c>
      <c r="B10" s="297" t="s">
        <v>465</v>
      </c>
      <c r="C10" s="35" t="s">
        <v>78</v>
      </c>
      <c r="D10" s="35" t="s">
        <v>87</v>
      </c>
    </row>
    <row r="11" spans="1:4">
      <c r="A11" s="35">
        <v>10</v>
      </c>
      <c r="B11" s="297" t="s">
        <v>466</v>
      </c>
      <c r="C11" s="35" t="s">
        <v>78</v>
      </c>
      <c r="D11" s="163" t="s">
        <v>467</v>
      </c>
    </row>
    <row r="12" spans="1:4">
      <c r="A12" s="35">
        <v>11</v>
      </c>
      <c r="B12" s="297" t="s">
        <v>468</v>
      </c>
      <c r="C12" s="35" t="s">
        <v>78</v>
      </c>
      <c r="D12" s="163" t="s">
        <v>469</v>
      </c>
    </row>
    <row r="13" spans="1:4">
      <c r="A13" s="163">
        <v>12</v>
      </c>
      <c r="B13" s="297">
        <v>550000</v>
      </c>
      <c r="C13" s="163" t="s">
        <v>53</v>
      </c>
      <c r="D13" s="163" t="s">
        <v>470</v>
      </c>
    </row>
    <row r="14" spans="1:4">
      <c r="A14" s="163">
        <v>13</v>
      </c>
      <c r="B14" s="297">
        <v>-100000</v>
      </c>
      <c r="C14" s="163" t="s">
        <v>53</v>
      </c>
      <c r="D14" s="163" t="s">
        <v>471</v>
      </c>
    </row>
    <row r="15" spans="1:4">
      <c r="A15" s="163">
        <v>14</v>
      </c>
      <c r="B15" s="297">
        <v>80000</v>
      </c>
      <c r="C15" s="163" t="s">
        <v>53</v>
      </c>
      <c r="D15" s="163" t="s">
        <v>472</v>
      </c>
    </row>
    <row r="16" spans="1:4">
      <c r="A16" s="163">
        <v>15</v>
      </c>
      <c r="B16" s="297">
        <v>440000</v>
      </c>
      <c r="C16" s="163" t="s">
        <v>53</v>
      </c>
      <c r="D16" s="163" t="s">
        <v>473</v>
      </c>
    </row>
    <row r="17" spans="1:4">
      <c r="A17" s="163">
        <v>16</v>
      </c>
      <c r="B17" s="297">
        <v>1100000</v>
      </c>
      <c r="C17" s="163" t="s">
        <v>53</v>
      </c>
      <c r="D17" s="163" t="s">
        <v>474</v>
      </c>
    </row>
    <row r="18" spans="1:4">
      <c r="A18" s="163">
        <v>17</v>
      </c>
      <c r="B18" s="297">
        <v>1950000</v>
      </c>
      <c r="C18" s="163" t="s">
        <v>53</v>
      </c>
      <c r="D18" s="163" t="s">
        <v>475</v>
      </c>
    </row>
    <row r="19" spans="1:4">
      <c r="A19" s="163">
        <v>18</v>
      </c>
      <c r="B19" s="297">
        <v>0.6</v>
      </c>
      <c r="C19" s="163" t="s">
        <v>53</v>
      </c>
      <c r="D19" s="163" t="s">
        <v>471</v>
      </c>
    </row>
    <row r="20" spans="1:4">
      <c r="A20" s="163">
        <v>19</v>
      </c>
      <c r="B20" s="297">
        <v>0.7</v>
      </c>
      <c r="C20" s="163" t="s">
        <v>53</v>
      </c>
      <c r="D20" s="163" t="s">
        <v>472</v>
      </c>
    </row>
    <row r="21" spans="1:4">
      <c r="A21" s="163">
        <v>20</v>
      </c>
      <c r="B21" s="297">
        <v>0.8</v>
      </c>
      <c r="C21" s="163" t="s">
        <v>53</v>
      </c>
      <c r="D21" s="163" t="s">
        <v>473</v>
      </c>
    </row>
    <row r="22" spans="1:4">
      <c r="A22" s="163">
        <v>21</v>
      </c>
      <c r="B22" s="297">
        <v>0.9</v>
      </c>
      <c r="C22" s="163" t="s">
        <v>53</v>
      </c>
      <c r="D22" s="163" t="s">
        <v>474</v>
      </c>
    </row>
    <row r="23" spans="1:4">
      <c r="A23" s="35">
        <v>1</v>
      </c>
      <c r="B23" s="34">
        <v>65</v>
      </c>
      <c r="C23" s="35" t="s">
        <v>53</v>
      </c>
      <c r="D23" s="38" t="s">
        <v>90</v>
      </c>
    </row>
    <row r="24" spans="1:4">
      <c r="A24" s="35">
        <v>2</v>
      </c>
      <c r="B24" s="34">
        <v>3300000</v>
      </c>
      <c r="C24" s="35" t="s">
        <v>53</v>
      </c>
      <c r="D24" s="38" t="s">
        <v>91</v>
      </c>
    </row>
    <row r="25" spans="1:4">
      <c r="A25" s="35">
        <v>3</v>
      </c>
      <c r="B25" s="34">
        <v>4100000</v>
      </c>
      <c r="C25" s="35" t="s">
        <v>53</v>
      </c>
      <c r="D25" s="38" t="s">
        <v>92</v>
      </c>
    </row>
    <row r="26" spans="1:4">
      <c r="A26" s="35">
        <v>4</v>
      </c>
      <c r="B26" s="34">
        <v>7700000</v>
      </c>
      <c r="C26" s="35" t="s">
        <v>53</v>
      </c>
      <c r="D26" s="38" t="s">
        <v>93</v>
      </c>
    </row>
    <row r="27" spans="1:4">
      <c r="A27" s="35">
        <v>5</v>
      </c>
      <c r="B27" s="34">
        <v>10000000</v>
      </c>
      <c r="C27" s="35" t="s">
        <v>53</v>
      </c>
      <c r="D27" s="38" t="s">
        <v>94</v>
      </c>
    </row>
    <row r="28" spans="1:4">
      <c r="A28" s="35">
        <v>6</v>
      </c>
      <c r="B28" s="34">
        <v>1300000</v>
      </c>
      <c r="C28" s="35" t="s">
        <v>53</v>
      </c>
      <c r="D28" s="38" t="s">
        <v>95</v>
      </c>
    </row>
    <row r="29" spans="1:4">
      <c r="A29" s="35">
        <v>7</v>
      </c>
      <c r="B29" s="34">
        <v>4100000</v>
      </c>
      <c r="C29" s="35" t="s">
        <v>53</v>
      </c>
      <c r="D29" s="38" t="s">
        <v>96</v>
      </c>
    </row>
    <row r="30" spans="1:4">
      <c r="A30" s="35">
        <v>8</v>
      </c>
      <c r="B30" s="34">
        <v>7700000</v>
      </c>
      <c r="C30" s="35" t="s">
        <v>53</v>
      </c>
      <c r="D30" s="38" t="s">
        <v>97</v>
      </c>
    </row>
    <row r="31" spans="1:4">
      <c r="A31" s="35">
        <v>9</v>
      </c>
      <c r="B31" s="34">
        <v>10000000</v>
      </c>
      <c r="C31" s="35" t="s">
        <v>53</v>
      </c>
      <c r="D31" s="38" t="s">
        <v>98</v>
      </c>
    </row>
    <row r="32" spans="1:4">
      <c r="A32" s="35">
        <v>10</v>
      </c>
      <c r="B32" s="34" t="s">
        <v>99</v>
      </c>
      <c r="C32" s="35" t="s">
        <v>53</v>
      </c>
      <c r="D32" s="38" t="s">
        <v>100</v>
      </c>
    </row>
    <row r="33" spans="1:4">
      <c r="A33" s="35">
        <v>11</v>
      </c>
      <c r="B33" s="34" t="s">
        <v>101</v>
      </c>
      <c r="C33" s="35" t="s">
        <v>53</v>
      </c>
      <c r="D33" s="38" t="s">
        <v>102</v>
      </c>
    </row>
    <row r="34" spans="1:4">
      <c r="A34" s="35">
        <v>12</v>
      </c>
      <c r="B34" s="34" t="s">
        <v>103</v>
      </c>
      <c r="C34" s="35" t="s">
        <v>53</v>
      </c>
      <c r="D34" s="38" t="s">
        <v>104</v>
      </c>
    </row>
    <row r="35" spans="1:4">
      <c r="A35" s="35">
        <v>13</v>
      </c>
      <c r="B35" s="34" t="s">
        <v>105</v>
      </c>
      <c r="C35" s="35" t="s">
        <v>53</v>
      </c>
      <c r="D35" s="38" t="s">
        <v>106</v>
      </c>
    </row>
    <row r="36" spans="1:4">
      <c r="A36" s="35">
        <v>14</v>
      </c>
      <c r="B36" s="34" t="s">
        <v>107</v>
      </c>
      <c r="C36" s="35" t="s">
        <v>53</v>
      </c>
      <c r="D36" s="38" t="s">
        <v>108</v>
      </c>
    </row>
    <row r="37" spans="1:4">
      <c r="A37" s="35">
        <v>15</v>
      </c>
      <c r="B37" s="34" t="s">
        <v>109</v>
      </c>
      <c r="C37" s="35" t="s">
        <v>53</v>
      </c>
      <c r="D37" s="38" t="s">
        <v>110</v>
      </c>
    </row>
    <row r="38" spans="1:4">
      <c r="A38" s="35">
        <v>16</v>
      </c>
      <c r="B38" s="34" t="s">
        <v>101</v>
      </c>
      <c r="C38" s="35" t="s">
        <v>53</v>
      </c>
      <c r="D38" s="38" t="s">
        <v>111</v>
      </c>
    </row>
    <row r="39" spans="1:4">
      <c r="A39" s="35">
        <v>17</v>
      </c>
      <c r="B39" s="34" t="s">
        <v>103</v>
      </c>
      <c r="C39" s="35" t="s">
        <v>53</v>
      </c>
      <c r="D39" s="38" t="s">
        <v>112</v>
      </c>
    </row>
    <row r="40" spans="1:4">
      <c r="A40" s="35">
        <v>18</v>
      </c>
      <c r="B40" s="34" t="s">
        <v>105</v>
      </c>
      <c r="C40" s="35" t="s">
        <v>53</v>
      </c>
      <c r="D40" s="38" t="s">
        <v>113</v>
      </c>
    </row>
    <row r="41" spans="1:4">
      <c r="A41" s="35">
        <v>19</v>
      </c>
      <c r="B41" s="34" t="s">
        <v>107</v>
      </c>
      <c r="C41" s="35" t="s">
        <v>53</v>
      </c>
      <c r="D41" s="38" t="s">
        <v>114</v>
      </c>
    </row>
    <row r="42" spans="1:4">
      <c r="B42" t="s">
        <v>168</v>
      </c>
    </row>
    <row r="43" spans="1:4">
      <c r="B43" t="s">
        <v>169</v>
      </c>
    </row>
  </sheetData>
  <phoneticPr fontId="2"/>
  <pageMargins left="0.25" right="0.25" top="0.75" bottom="0.75" header="0.3" footer="0.3"/>
  <pageSetup paperSize="9" fitToHeight="0"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9"/>
  <sheetViews>
    <sheetView zoomScaleNormal="100" workbookViewId="0">
      <selection activeCell="B6" sqref="B6"/>
    </sheetView>
  </sheetViews>
  <sheetFormatPr defaultRowHeight="13.2"/>
  <cols>
    <col min="4" max="4" width="45" style="39" bestFit="1" customWidth="1"/>
  </cols>
  <sheetData>
    <row r="1" spans="1:5">
      <c r="A1" s="35" t="s">
        <v>167</v>
      </c>
      <c r="B1" s="35" t="s">
        <v>50</v>
      </c>
      <c r="C1" s="35" t="s">
        <v>51</v>
      </c>
      <c r="D1" s="34" t="s">
        <v>52</v>
      </c>
    </row>
    <row r="2" spans="1:5">
      <c r="A2" s="35">
        <v>1</v>
      </c>
      <c r="B2" s="163">
        <v>430000</v>
      </c>
      <c r="C2" s="35" t="s">
        <v>53</v>
      </c>
      <c r="D2" s="34" t="s">
        <v>31</v>
      </c>
    </row>
    <row r="3" spans="1:5">
      <c r="A3" s="35">
        <v>2</v>
      </c>
      <c r="B3" s="35">
        <v>330000</v>
      </c>
      <c r="C3" s="35" t="s">
        <v>53</v>
      </c>
      <c r="D3" s="34" t="s">
        <v>115</v>
      </c>
      <c r="E3" t="s">
        <v>170</v>
      </c>
    </row>
    <row r="4" spans="1:5">
      <c r="A4" s="35">
        <v>3</v>
      </c>
      <c r="B4" s="35">
        <v>220000</v>
      </c>
      <c r="C4" s="35" t="s">
        <v>53</v>
      </c>
      <c r="D4" s="34" t="s">
        <v>116</v>
      </c>
      <c r="E4" t="s">
        <v>171</v>
      </c>
    </row>
    <row r="5" spans="1:5">
      <c r="A5" s="35">
        <v>4</v>
      </c>
      <c r="B5" s="35">
        <v>110000</v>
      </c>
      <c r="C5" s="35" t="s">
        <v>53</v>
      </c>
      <c r="D5" s="34" t="s">
        <v>117</v>
      </c>
      <c r="E5" t="s">
        <v>172</v>
      </c>
    </row>
    <row r="6" spans="1:5">
      <c r="A6" s="35">
        <v>5</v>
      </c>
      <c r="B6" s="35">
        <v>380000</v>
      </c>
      <c r="C6" s="35" t="s">
        <v>53</v>
      </c>
      <c r="D6" s="34" t="s">
        <v>118</v>
      </c>
    </row>
    <row r="7" spans="1:5">
      <c r="A7" s="35">
        <v>6</v>
      </c>
      <c r="B7" s="35">
        <v>260000</v>
      </c>
      <c r="C7" s="35" t="s">
        <v>53</v>
      </c>
      <c r="D7" s="34" t="s">
        <v>119</v>
      </c>
    </row>
    <row r="8" spans="1:5">
      <c r="A8" s="35">
        <v>7</v>
      </c>
      <c r="B8" s="35">
        <v>130000</v>
      </c>
      <c r="C8" s="35" t="s">
        <v>53</v>
      </c>
      <c r="D8" s="34" t="s">
        <v>120</v>
      </c>
    </row>
    <row r="9" spans="1:5">
      <c r="A9" s="35">
        <v>8</v>
      </c>
      <c r="B9" s="35">
        <v>330000</v>
      </c>
      <c r="C9" s="35" t="s">
        <v>53</v>
      </c>
      <c r="D9" s="34" t="s">
        <v>121</v>
      </c>
      <c r="E9" t="s">
        <v>173</v>
      </c>
    </row>
    <row r="10" spans="1:5">
      <c r="A10" s="35">
        <v>9</v>
      </c>
      <c r="B10" s="35">
        <v>330000</v>
      </c>
      <c r="C10" s="35" t="s">
        <v>53</v>
      </c>
      <c r="D10" s="34" t="s">
        <v>122</v>
      </c>
      <c r="E10" t="s">
        <v>174</v>
      </c>
    </row>
    <row r="11" spans="1:5">
      <c r="A11" s="35">
        <v>10</v>
      </c>
      <c r="B11" s="35">
        <v>330000</v>
      </c>
      <c r="C11" s="35" t="s">
        <v>53</v>
      </c>
      <c r="D11" s="34" t="s">
        <v>123</v>
      </c>
      <c r="E11" t="s">
        <v>175</v>
      </c>
    </row>
    <row r="12" spans="1:5">
      <c r="A12" s="35">
        <v>11</v>
      </c>
      <c r="B12" s="35">
        <v>310000</v>
      </c>
      <c r="C12" s="35" t="s">
        <v>53</v>
      </c>
      <c r="D12" s="34" t="s">
        <v>124</v>
      </c>
      <c r="E12" t="s">
        <v>176</v>
      </c>
    </row>
    <row r="13" spans="1:5">
      <c r="A13" s="35">
        <v>12</v>
      </c>
      <c r="B13" s="35">
        <v>260000</v>
      </c>
      <c r="C13" s="35" t="s">
        <v>53</v>
      </c>
      <c r="D13" s="34" t="s">
        <v>125</v>
      </c>
      <c r="E13" t="s">
        <v>177</v>
      </c>
    </row>
    <row r="14" spans="1:5">
      <c r="A14" s="35">
        <v>13</v>
      </c>
      <c r="B14" s="35">
        <v>210000</v>
      </c>
      <c r="C14" s="35" t="s">
        <v>53</v>
      </c>
      <c r="D14" s="34" t="s">
        <v>126</v>
      </c>
      <c r="E14" t="s">
        <v>178</v>
      </c>
    </row>
    <row r="15" spans="1:5">
      <c r="A15" s="35">
        <v>14</v>
      </c>
      <c r="B15" s="35">
        <v>160000</v>
      </c>
      <c r="C15" s="35" t="s">
        <v>53</v>
      </c>
      <c r="D15" s="34" t="s">
        <v>127</v>
      </c>
      <c r="E15" t="s">
        <v>179</v>
      </c>
    </row>
    <row r="16" spans="1:5">
      <c r="A16" s="35">
        <v>15</v>
      </c>
      <c r="B16" s="35">
        <v>110000</v>
      </c>
      <c r="C16" s="35" t="s">
        <v>53</v>
      </c>
      <c r="D16" s="34" t="s">
        <v>128</v>
      </c>
      <c r="E16" t="s">
        <v>180</v>
      </c>
    </row>
    <row r="17" spans="1:5">
      <c r="A17" s="35">
        <v>16</v>
      </c>
      <c r="B17" s="35">
        <v>60000</v>
      </c>
      <c r="C17" s="35" t="s">
        <v>53</v>
      </c>
      <c r="D17" s="34" t="s">
        <v>129</v>
      </c>
      <c r="E17" t="s">
        <v>181</v>
      </c>
    </row>
    <row r="18" spans="1:5">
      <c r="A18" s="35">
        <v>17</v>
      </c>
      <c r="B18" s="35">
        <v>30000</v>
      </c>
      <c r="C18" s="35" t="s">
        <v>53</v>
      </c>
      <c r="D18" s="34" t="s">
        <v>130</v>
      </c>
      <c r="E18" t="s">
        <v>182</v>
      </c>
    </row>
    <row r="19" spans="1:5">
      <c r="A19" s="35">
        <v>18</v>
      </c>
      <c r="B19" s="35">
        <v>220000</v>
      </c>
      <c r="C19" s="35" t="s">
        <v>53</v>
      </c>
      <c r="D19" s="34" t="s">
        <v>131</v>
      </c>
      <c r="E19" t="s">
        <v>183</v>
      </c>
    </row>
    <row r="20" spans="1:5">
      <c r="A20" s="35">
        <v>19</v>
      </c>
      <c r="B20" s="35">
        <v>220000</v>
      </c>
      <c r="C20" s="35" t="s">
        <v>53</v>
      </c>
      <c r="D20" s="34" t="s">
        <v>132</v>
      </c>
      <c r="E20" t="s">
        <v>184</v>
      </c>
    </row>
    <row r="21" spans="1:5">
      <c r="A21" s="35">
        <v>20</v>
      </c>
      <c r="B21" s="35">
        <v>220000</v>
      </c>
      <c r="C21" s="35" t="s">
        <v>53</v>
      </c>
      <c r="D21" s="34" t="s">
        <v>133</v>
      </c>
      <c r="E21" t="s">
        <v>185</v>
      </c>
    </row>
    <row r="22" spans="1:5">
      <c r="A22" s="35">
        <v>21</v>
      </c>
      <c r="B22" s="35">
        <v>210000</v>
      </c>
      <c r="C22" s="35" t="s">
        <v>53</v>
      </c>
      <c r="D22" s="34" t="s">
        <v>134</v>
      </c>
      <c r="E22" t="s">
        <v>186</v>
      </c>
    </row>
    <row r="23" spans="1:5">
      <c r="A23" s="35">
        <v>22</v>
      </c>
      <c r="B23" s="35">
        <v>180000</v>
      </c>
      <c r="C23" s="35" t="s">
        <v>53</v>
      </c>
      <c r="D23" s="34" t="s">
        <v>135</v>
      </c>
      <c r="E23" t="s">
        <v>187</v>
      </c>
    </row>
    <row r="24" spans="1:5">
      <c r="A24" s="35">
        <v>23</v>
      </c>
      <c r="B24" s="35">
        <v>140000</v>
      </c>
      <c r="C24" s="35" t="s">
        <v>53</v>
      </c>
      <c r="D24" s="34" t="s">
        <v>136</v>
      </c>
      <c r="E24" t="s">
        <v>188</v>
      </c>
    </row>
    <row r="25" spans="1:5">
      <c r="A25" s="35">
        <v>24</v>
      </c>
      <c r="B25" s="35">
        <v>110000</v>
      </c>
      <c r="C25" s="35" t="s">
        <v>53</v>
      </c>
      <c r="D25" s="34" t="s">
        <v>137</v>
      </c>
      <c r="E25" t="s">
        <v>189</v>
      </c>
    </row>
    <row r="26" spans="1:5">
      <c r="A26" s="35">
        <v>25</v>
      </c>
      <c r="B26" s="35">
        <v>80000</v>
      </c>
      <c r="C26" s="35" t="s">
        <v>53</v>
      </c>
      <c r="D26" s="34" t="s">
        <v>138</v>
      </c>
      <c r="E26" t="s">
        <v>190</v>
      </c>
    </row>
    <row r="27" spans="1:5">
      <c r="A27" s="35">
        <v>26</v>
      </c>
      <c r="B27" s="35">
        <v>40000</v>
      </c>
      <c r="C27" s="35" t="s">
        <v>53</v>
      </c>
      <c r="D27" s="34" t="s">
        <v>139</v>
      </c>
      <c r="E27" t="s">
        <v>191</v>
      </c>
    </row>
    <row r="28" spans="1:5">
      <c r="A28" s="35">
        <v>27</v>
      </c>
      <c r="B28" s="35">
        <v>20000</v>
      </c>
      <c r="C28" s="35" t="s">
        <v>53</v>
      </c>
      <c r="D28" s="34" t="s">
        <v>140</v>
      </c>
      <c r="E28" t="s">
        <v>192</v>
      </c>
    </row>
    <row r="29" spans="1:5">
      <c r="A29" s="35">
        <v>28</v>
      </c>
      <c r="B29" s="35">
        <v>110000</v>
      </c>
      <c r="C29" s="35" t="s">
        <v>53</v>
      </c>
      <c r="D29" s="34" t="s">
        <v>141</v>
      </c>
      <c r="E29" t="s">
        <v>193</v>
      </c>
    </row>
    <row r="30" spans="1:5">
      <c r="A30" s="35">
        <v>29</v>
      </c>
      <c r="B30" s="35">
        <v>110000</v>
      </c>
      <c r="C30" s="35" t="s">
        <v>53</v>
      </c>
      <c r="D30" s="34" t="s">
        <v>142</v>
      </c>
      <c r="E30" t="s">
        <v>194</v>
      </c>
    </row>
    <row r="31" spans="1:5">
      <c r="A31" s="35">
        <v>30</v>
      </c>
      <c r="B31" s="35">
        <v>110000</v>
      </c>
      <c r="C31" s="35" t="s">
        <v>53</v>
      </c>
      <c r="D31" s="34" t="s">
        <v>143</v>
      </c>
      <c r="E31" t="s">
        <v>195</v>
      </c>
    </row>
    <row r="32" spans="1:5">
      <c r="A32" s="35">
        <v>31</v>
      </c>
      <c r="B32" s="35">
        <v>110000</v>
      </c>
      <c r="C32" s="35" t="s">
        <v>53</v>
      </c>
      <c r="D32" s="34" t="s">
        <v>144</v>
      </c>
      <c r="E32" t="s">
        <v>196</v>
      </c>
    </row>
    <row r="33" spans="1:5">
      <c r="A33" s="35">
        <v>32</v>
      </c>
      <c r="B33" s="35">
        <v>90000</v>
      </c>
      <c r="C33" s="35" t="s">
        <v>53</v>
      </c>
      <c r="D33" s="34" t="s">
        <v>145</v>
      </c>
      <c r="E33" t="s">
        <v>197</v>
      </c>
    </row>
    <row r="34" spans="1:5">
      <c r="A34" s="35">
        <v>33</v>
      </c>
      <c r="B34" s="35">
        <v>70000</v>
      </c>
      <c r="C34" s="35" t="s">
        <v>53</v>
      </c>
      <c r="D34" s="34" t="s">
        <v>146</v>
      </c>
      <c r="E34" t="s">
        <v>198</v>
      </c>
    </row>
    <row r="35" spans="1:5">
      <c r="A35" s="35">
        <v>34</v>
      </c>
      <c r="B35" s="35">
        <v>60000</v>
      </c>
      <c r="C35" s="35" t="s">
        <v>53</v>
      </c>
      <c r="D35" s="34" t="s">
        <v>147</v>
      </c>
      <c r="E35" t="s">
        <v>199</v>
      </c>
    </row>
    <row r="36" spans="1:5">
      <c r="A36" s="35">
        <v>35</v>
      </c>
      <c r="B36" s="35">
        <v>40000</v>
      </c>
      <c r="C36" s="35" t="s">
        <v>53</v>
      </c>
      <c r="D36" s="34" t="s">
        <v>148</v>
      </c>
      <c r="E36" t="s">
        <v>200</v>
      </c>
    </row>
    <row r="37" spans="1:5">
      <c r="A37" s="35">
        <v>36</v>
      </c>
      <c r="B37" s="35">
        <v>20000</v>
      </c>
      <c r="C37" s="35" t="s">
        <v>53</v>
      </c>
      <c r="D37" s="34" t="s">
        <v>149</v>
      </c>
      <c r="E37" t="s">
        <v>201</v>
      </c>
    </row>
    <row r="38" spans="1:5">
      <c r="A38" s="35">
        <v>37</v>
      </c>
      <c r="B38" s="35">
        <v>10000</v>
      </c>
      <c r="C38" s="35" t="s">
        <v>53</v>
      </c>
      <c r="D38" s="34" t="s">
        <v>150</v>
      </c>
      <c r="E38" t="s">
        <v>202</v>
      </c>
    </row>
    <row r="39" spans="1:5">
      <c r="A39" s="35">
        <v>38</v>
      </c>
      <c r="B39" s="35">
        <v>330000</v>
      </c>
      <c r="C39" s="35" t="s">
        <v>53</v>
      </c>
      <c r="D39" s="34" t="s">
        <v>18</v>
      </c>
    </row>
    <row r="40" spans="1:5">
      <c r="A40" s="35">
        <v>39</v>
      </c>
      <c r="B40" s="35">
        <v>450000</v>
      </c>
      <c r="C40" s="35" t="s">
        <v>53</v>
      </c>
      <c r="D40" s="34" t="s">
        <v>19</v>
      </c>
    </row>
    <row r="41" spans="1:5">
      <c r="A41" s="35">
        <v>40</v>
      </c>
      <c r="B41" s="35">
        <v>380000</v>
      </c>
      <c r="C41" s="35" t="s">
        <v>53</v>
      </c>
      <c r="D41" s="34" t="s">
        <v>20</v>
      </c>
    </row>
    <row r="42" spans="1:5">
      <c r="A42" s="35">
        <v>41</v>
      </c>
      <c r="B42" s="35">
        <v>450000</v>
      </c>
      <c r="C42" s="35" t="s">
        <v>53</v>
      </c>
      <c r="D42" s="34" t="s">
        <v>151</v>
      </c>
    </row>
    <row r="43" spans="1:5">
      <c r="A43" s="35">
        <v>42</v>
      </c>
      <c r="B43" s="35">
        <v>0</v>
      </c>
      <c r="C43" s="35" t="s">
        <v>53</v>
      </c>
      <c r="D43" s="34" t="s">
        <v>152</v>
      </c>
    </row>
    <row r="44" spans="1:5">
      <c r="A44" s="35">
        <v>43</v>
      </c>
      <c r="B44" s="35">
        <v>260000</v>
      </c>
      <c r="C44" s="35" t="s">
        <v>53</v>
      </c>
      <c r="D44" s="34" t="s">
        <v>22</v>
      </c>
    </row>
    <row r="45" spans="1:5">
      <c r="A45" s="35">
        <v>44</v>
      </c>
      <c r="B45" s="35">
        <v>300000</v>
      </c>
      <c r="C45" s="35" t="s">
        <v>53</v>
      </c>
      <c r="D45" s="34" t="s">
        <v>23</v>
      </c>
    </row>
    <row r="46" spans="1:5">
      <c r="A46" s="35">
        <v>45</v>
      </c>
      <c r="B46" s="35">
        <v>530000</v>
      </c>
      <c r="C46" s="35" t="s">
        <v>53</v>
      </c>
      <c r="D46" s="34" t="s">
        <v>24</v>
      </c>
    </row>
    <row r="47" spans="1:5">
      <c r="A47" s="35">
        <v>46</v>
      </c>
      <c r="B47" s="35">
        <v>260000</v>
      </c>
      <c r="C47" s="35" t="s">
        <v>53</v>
      </c>
      <c r="D47" s="34" t="s">
        <v>25</v>
      </c>
    </row>
    <row r="48" spans="1:5">
      <c r="A48" s="35">
        <v>47</v>
      </c>
      <c r="B48" s="35">
        <v>300000</v>
      </c>
      <c r="C48" s="35" t="s">
        <v>53</v>
      </c>
      <c r="D48" s="34" t="s">
        <v>153</v>
      </c>
    </row>
    <row r="49" spans="1:4">
      <c r="A49" s="35">
        <v>48</v>
      </c>
      <c r="B49" s="35">
        <v>260000</v>
      </c>
      <c r="C49" s="35" t="s">
        <v>53</v>
      </c>
      <c r="D49" s="34" t="s">
        <v>27</v>
      </c>
    </row>
    <row r="50" spans="1:4">
      <c r="A50" s="35">
        <v>49</v>
      </c>
      <c r="B50" s="35">
        <v>260000</v>
      </c>
      <c r="C50" s="35" t="s">
        <v>53</v>
      </c>
      <c r="D50" s="34" t="s">
        <v>154</v>
      </c>
    </row>
    <row r="51" spans="1:4">
      <c r="A51" s="35">
        <v>50</v>
      </c>
      <c r="B51" s="35">
        <v>350000</v>
      </c>
      <c r="C51" s="35" t="s">
        <v>53</v>
      </c>
      <c r="D51" s="34" t="s">
        <v>155</v>
      </c>
    </row>
    <row r="52" spans="1:4">
      <c r="A52" s="35">
        <v>51</v>
      </c>
      <c r="B52" s="35">
        <v>320000</v>
      </c>
      <c r="C52" s="35" t="s">
        <v>53</v>
      </c>
      <c r="D52" s="34" t="s">
        <v>156</v>
      </c>
    </row>
    <row r="53" spans="1:4">
      <c r="A53" s="35">
        <v>52</v>
      </c>
      <c r="B53" s="163">
        <v>1350000</v>
      </c>
      <c r="C53" s="35" t="s">
        <v>53</v>
      </c>
      <c r="D53" s="34" t="s">
        <v>157</v>
      </c>
    </row>
    <row r="54" spans="1:4">
      <c r="A54" s="35">
        <v>53</v>
      </c>
      <c r="B54" s="35">
        <v>5000000</v>
      </c>
      <c r="C54" s="35" t="s">
        <v>53</v>
      </c>
      <c r="D54" s="34" t="s">
        <v>158</v>
      </c>
    </row>
    <row r="55" spans="1:4">
      <c r="A55" s="34">
        <v>54</v>
      </c>
      <c r="B55" s="34">
        <v>150000</v>
      </c>
      <c r="C55" s="34" t="s">
        <v>53</v>
      </c>
      <c r="D55" s="36" t="s">
        <v>159</v>
      </c>
    </row>
    <row r="56" spans="1:4">
      <c r="A56" s="36">
        <v>55</v>
      </c>
      <c r="B56" s="36">
        <v>100000</v>
      </c>
      <c r="C56" s="36" t="s">
        <v>53</v>
      </c>
      <c r="D56" s="36" t="s">
        <v>160</v>
      </c>
    </row>
    <row r="57" spans="1:4">
      <c r="A57" s="34">
        <v>56</v>
      </c>
      <c r="B57" s="430">
        <v>750000</v>
      </c>
      <c r="C57" s="34" t="s">
        <v>53</v>
      </c>
      <c r="D57" s="36" t="s">
        <v>161</v>
      </c>
    </row>
    <row r="58" spans="1:4">
      <c r="A58" s="36">
        <v>57</v>
      </c>
      <c r="B58" s="36">
        <v>290000</v>
      </c>
      <c r="C58" s="36" t="s">
        <v>53</v>
      </c>
      <c r="D58" s="36" t="s">
        <v>481</v>
      </c>
    </row>
    <row r="59" spans="1:4">
      <c r="A59" s="36">
        <v>58</v>
      </c>
      <c r="B59" s="36">
        <v>150000</v>
      </c>
      <c r="C59" s="36" t="s">
        <v>53</v>
      </c>
      <c r="D59" s="36" t="s">
        <v>482</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3"/>
  <sheetViews>
    <sheetView zoomScaleNormal="100" workbookViewId="0">
      <selection activeCell="D43" sqref="D43"/>
    </sheetView>
  </sheetViews>
  <sheetFormatPr defaultRowHeight="13.2"/>
  <cols>
    <col min="2" max="2" width="11.6640625" bestFit="1" customWidth="1"/>
    <col min="4" max="4" width="45" style="39" bestFit="1" customWidth="1"/>
  </cols>
  <sheetData>
    <row r="1" spans="1:5">
      <c r="A1" s="35" t="s">
        <v>167</v>
      </c>
      <c r="B1" s="35" t="s">
        <v>50</v>
      </c>
      <c r="C1" s="35" t="s">
        <v>51</v>
      </c>
      <c r="D1" s="34" t="s">
        <v>52</v>
      </c>
    </row>
    <row r="2" spans="1:5">
      <c r="A2" s="35">
        <v>1</v>
      </c>
      <c r="B2" s="35">
        <v>50000</v>
      </c>
      <c r="C2" s="35" t="s">
        <v>53</v>
      </c>
      <c r="D2" s="34" t="s">
        <v>31</v>
      </c>
    </row>
    <row r="3" spans="1:5">
      <c r="A3" s="35">
        <v>2</v>
      </c>
      <c r="B3" s="35">
        <v>50000</v>
      </c>
      <c r="C3" s="35" t="s">
        <v>53</v>
      </c>
      <c r="D3" s="34" t="s">
        <v>115</v>
      </c>
      <c r="E3" t="s">
        <v>203</v>
      </c>
    </row>
    <row r="4" spans="1:5">
      <c r="A4" s="35">
        <v>3</v>
      </c>
      <c r="B4" s="35">
        <v>40000</v>
      </c>
      <c r="C4" s="35" t="s">
        <v>53</v>
      </c>
      <c r="D4" s="34" t="s">
        <v>116</v>
      </c>
      <c r="E4" t="s">
        <v>203</v>
      </c>
    </row>
    <row r="5" spans="1:5">
      <c r="A5" s="35">
        <v>4</v>
      </c>
      <c r="B5" s="35">
        <v>20000</v>
      </c>
      <c r="C5" s="35" t="s">
        <v>53</v>
      </c>
      <c r="D5" s="34" t="s">
        <v>117</v>
      </c>
      <c r="E5" t="s">
        <v>203</v>
      </c>
    </row>
    <row r="6" spans="1:5">
      <c r="A6" s="35">
        <v>5</v>
      </c>
      <c r="B6" s="35">
        <v>100000</v>
      </c>
      <c r="C6" s="35" t="s">
        <v>53</v>
      </c>
      <c r="D6" s="34" t="s">
        <v>118</v>
      </c>
    </row>
    <row r="7" spans="1:5">
      <c r="A7" s="35">
        <v>6</v>
      </c>
      <c r="B7" s="35">
        <v>60000</v>
      </c>
      <c r="C7" s="35" t="s">
        <v>53</v>
      </c>
      <c r="D7" s="34" t="s">
        <v>119</v>
      </c>
    </row>
    <row r="8" spans="1:5">
      <c r="A8" s="35">
        <v>7</v>
      </c>
      <c r="B8" s="35">
        <v>30000</v>
      </c>
      <c r="C8" s="35" t="s">
        <v>53</v>
      </c>
      <c r="D8" s="34" t="s">
        <v>120</v>
      </c>
    </row>
    <row r="9" spans="1:5">
      <c r="A9" s="35">
        <v>8</v>
      </c>
      <c r="B9" s="35">
        <v>50000</v>
      </c>
      <c r="C9" s="35" t="s">
        <v>53</v>
      </c>
      <c r="D9" s="34" t="s">
        <v>121</v>
      </c>
      <c r="E9" t="s">
        <v>204</v>
      </c>
    </row>
    <row r="10" spans="1:5">
      <c r="A10" s="35">
        <v>9</v>
      </c>
      <c r="B10" s="35">
        <v>30000</v>
      </c>
      <c r="C10" s="35" t="s">
        <v>53</v>
      </c>
      <c r="D10" s="34" t="s">
        <v>122</v>
      </c>
      <c r="E10" t="s">
        <v>205</v>
      </c>
    </row>
    <row r="11" spans="1:5">
      <c r="A11" s="35">
        <v>10</v>
      </c>
      <c r="B11" s="35">
        <v>0</v>
      </c>
      <c r="C11" s="35" t="s">
        <v>53</v>
      </c>
      <c r="D11" s="34" t="s">
        <v>123</v>
      </c>
    </row>
    <row r="12" spans="1:5">
      <c r="A12" s="35">
        <v>11</v>
      </c>
      <c r="B12" s="35">
        <v>0</v>
      </c>
      <c r="C12" s="35" t="s">
        <v>53</v>
      </c>
      <c r="D12" s="34" t="s">
        <v>124</v>
      </c>
    </row>
    <row r="13" spans="1:5">
      <c r="A13" s="35">
        <v>12</v>
      </c>
      <c r="B13" s="35">
        <v>0</v>
      </c>
      <c r="C13" s="35" t="s">
        <v>53</v>
      </c>
      <c r="D13" s="34" t="s">
        <v>125</v>
      </c>
    </row>
    <row r="14" spans="1:5">
      <c r="A14" s="35">
        <v>13</v>
      </c>
      <c r="B14" s="35">
        <v>0</v>
      </c>
      <c r="C14" s="35" t="s">
        <v>53</v>
      </c>
      <c r="D14" s="34" t="s">
        <v>126</v>
      </c>
    </row>
    <row r="15" spans="1:5">
      <c r="A15" s="35">
        <v>14</v>
      </c>
      <c r="B15" s="35">
        <v>0</v>
      </c>
      <c r="C15" s="35" t="s">
        <v>53</v>
      </c>
      <c r="D15" s="34" t="s">
        <v>127</v>
      </c>
    </row>
    <row r="16" spans="1:5">
      <c r="A16" s="35">
        <v>15</v>
      </c>
      <c r="B16" s="35">
        <v>0</v>
      </c>
      <c r="C16" s="35" t="s">
        <v>53</v>
      </c>
      <c r="D16" s="34" t="s">
        <v>128</v>
      </c>
    </row>
    <row r="17" spans="1:5">
      <c r="A17" s="35">
        <v>16</v>
      </c>
      <c r="B17" s="35">
        <v>0</v>
      </c>
      <c r="C17" s="35" t="s">
        <v>53</v>
      </c>
      <c r="D17" s="34" t="s">
        <v>129</v>
      </c>
    </row>
    <row r="18" spans="1:5">
      <c r="A18" s="35">
        <v>17</v>
      </c>
      <c r="B18" s="35">
        <v>0</v>
      </c>
      <c r="C18" s="35" t="s">
        <v>53</v>
      </c>
      <c r="D18" s="34" t="s">
        <v>130</v>
      </c>
    </row>
    <row r="19" spans="1:5">
      <c r="A19" s="35">
        <v>18</v>
      </c>
      <c r="B19" s="35">
        <v>40000</v>
      </c>
      <c r="C19" s="35" t="s">
        <v>53</v>
      </c>
      <c r="D19" s="34" t="s">
        <v>131</v>
      </c>
      <c r="E19" t="s">
        <v>204</v>
      </c>
    </row>
    <row r="20" spans="1:5">
      <c r="A20" s="35">
        <v>19</v>
      </c>
      <c r="B20" s="35">
        <v>20000</v>
      </c>
      <c r="C20" s="35" t="s">
        <v>53</v>
      </c>
      <c r="D20" s="34" t="s">
        <v>132</v>
      </c>
      <c r="E20" t="s">
        <v>205</v>
      </c>
    </row>
    <row r="21" spans="1:5">
      <c r="A21" s="35">
        <v>20</v>
      </c>
      <c r="B21" s="35">
        <v>0</v>
      </c>
      <c r="C21" s="35" t="s">
        <v>53</v>
      </c>
      <c r="D21" s="34" t="s">
        <v>133</v>
      </c>
    </row>
    <row r="22" spans="1:5">
      <c r="A22" s="35">
        <v>21</v>
      </c>
      <c r="B22" s="35">
        <v>0</v>
      </c>
      <c r="C22" s="35" t="s">
        <v>53</v>
      </c>
      <c r="D22" s="34" t="s">
        <v>134</v>
      </c>
    </row>
    <row r="23" spans="1:5">
      <c r="A23" s="35">
        <v>22</v>
      </c>
      <c r="B23" s="35">
        <v>0</v>
      </c>
      <c r="C23" s="35" t="s">
        <v>53</v>
      </c>
      <c r="D23" s="34" t="s">
        <v>135</v>
      </c>
    </row>
    <row r="24" spans="1:5">
      <c r="A24" s="35">
        <v>23</v>
      </c>
      <c r="B24" s="35">
        <v>0</v>
      </c>
      <c r="C24" s="35" t="s">
        <v>53</v>
      </c>
      <c r="D24" s="34" t="s">
        <v>136</v>
      </c>
    </row>
    <row r="25" spans="1:5">
      <c r="A25" s="35">
        <v>24</v>
      </c>
      <c r="B25" s="35">
        <v>0</v>
      </c>
      <c r="C25" s="35" t="s">
        <v>53</v>
      </c>
      <c r="D25" s="34" t="s">
        <v>137</v>
      </c>
    </row>
    <row r="26" spans="1:5">
      <c r="A26" s="35">
        <v>25</v>
      </c>
      <c r="B26" s="35">
        <v>0</v>
      </c>
      <c r="C26" s="35" t="s">
        <v>53</v>
      </c>
      <c r="D26" s="34" t="s">
        <v>138</v>
      </c>
    </row>
    <row r="27" spans="1:5">
      <c r="A27" s="35">
        <v>26</v>
      </c>
      <c r="B27" s="35">
        <v>0</v>
      </c>
      <c r="C27" s="35" t="s">
        <v>53</v>
      </c>
      <c r="D27" s="34" t="s">
        <v>139</v>
      </c>
    </row>
    <row r="28" spans="1:5">
      <c r="A28" s="35">
        <v>27</v>
      </c>
      <c r="B28" s="35">
        <v>0</v>
      </c>
      <c r="C28" s="35" t="s">
        <v>53</v>
      </c>
      <c r="D28" s="34" t="s">
        <v>140</v>
      </c>
    </row>
    <row r="29" spans="1:5">
      <c r="A29" s="35">
        <v>28</v>
      </c>
      <c r="B29" s="35">
        <v>20000</v>
      </c>
      <c r="C29" s="35" t="s">
        <v>53</v>
      </c>
      <c r="D29" s="34" t="s">
        <v>141</v>
      </c>
      <c r="E29" t="s">
        <v>204</v>
      </c>
    </row>
    <row r="30" spans="1:5">
      <c r="A30" s="35">
        <v>29</v>
      </c>
      <c r="B30" s="35">
        <v>10000</v>
      </c>
      <c r="C30" s="35" t="s">
        <v>53</v>
      </c>
      <c r="D30" s="34" t="s">
        <v>142</v>
      </c>
      <c r="E30" t="s">
        <v>205</v>
      </c>
    </row>
    <row r="31" spans="1:5">
      <c r="A31" s="35">
        <v>30</v>
      </c>
      <c r="B31" s="35">
        <v>0</v>
      </c>
      <c r="C31" s="35" t="s">
        <v>53</v>
      </c>
      <c r="D31" s="34" t="s">
        <v>143</v>
      </c>
    </row>
    <row r="32" spans="1:5">
      <c r="A32" s="35">
        <v>31</v>
      </c>
      <c r="B32" s="35">
        <v>0</v>
      </c>
      <c r="C32" s="35" t="s">
        <v>53</v>
      </c>
      <c r="D32" s="34" t="s">
        <v>144</v>
      </c>
    </row>
    <row r="33" spans="1:4">
      <c r="A33" s="35">
        <v>32</v>
      </c>
      <c r="B33" s="35">
        <v>0</v>
      </c>
      <c r="C33" s="35" t="s">
        <v>53</v>
      </c>
      <c r="D33" s="34" t="s">
        <v>145</v>
      </c>
    </row>
    <row r="34" spans="1:4">
      <c r="A34" s="35">
        <v>33</v>
      </c>
      <c r="B34" s="35">
        <v>0</v>
      </c>
      <c r="C34" s="35" t="s">
        <v>53</v>
      </c>
      <c r="D34" s="34" t="s">
        <v>146</v>
      </c>
    </row>
    <row r="35" spans="1:4">
      <c r="A35" s="35">
        <v>34</v>
      </c>
      <c r="B35" s="35">
        <v>0</v>
      </c>
      <c r="C35" s="35" t="s">
        <v>53</v>
      </c>
      <c r="D35" s="34" t="s">
        <v>147</v>
      </c>
    </row>
    <row r="36" spans="1:4">
      <c r="A36" s="35">
        <v>35</v>
      </c>
      <c r="B36" s="35">
        <v>0</v>
      </c>
      <c r="C36" s="35" t="s">
        <v>53</v>
      </c>
      <c r="D36" s="34" t="s">
        <v>148</v>
      </c>
    </row>
    <row r="37" spans="1:4">
      <c r="A37" s="35">
        <v>36</v>
      </c>
      <c r="B37" s="35">
        <v>0</v>
      </c>
      <c r="C37" s="35" t="s">
        <v>53</v>
      </c>
      <c r="D37" s="34" t="s">
        <v>149</v>
      </c>
    </row>
    <row r="38" spans="1:4">
      <c r="A38" s="35">
        <v>37</v>
      </c>
      <c r="B38" s="35">
        <v>0</v>
      </c>
      <c r="C38" s="35" t="s">
        <v>53</v>
      </c>
      <c r="D38" s="34" t="s">
        <v>150</v>
      </c>
    </row>
    <row r="39" spans="1:4">
      <c r="A39" s="35">
        <v>38</v>
      </c>
      <c r="B39" s="35">
        <v>50000</v>
      </c>
      <c r="C39" s="35" t="s">
        <v>53</v>
      </c>
      <c r="D39" s="34" t="s">
        <v>18</v>
      </c>
    </row>
    <row r="40" spans="1:4">
      <c r="A40" s="35">
        <v>39</v>
      </c>
      <c r="B40" s="35">
        <v>180000</v>
      </c>
      <c r="C40" s="35" t="s">
        <v>53</v>
      </c>
      <c r="D40" s="34" t="s">
        <v>19</v>
      </c>
    </row>
    <row r="41" spans="1:4">
      <c r="A41" s="35">
        <v>40</v>
      </c>
      <c r="B41" s="35">
        <v>100000</v>
      </c>
      <c r="C41" s="35" t="s">
        <v>53</v>
      </c>
      <c r="D41" s="34" t="s">
        <v>20</v>
      </c>
    </row>
    <row r="42" spans="1:4">
      <c r="A42" s="35">
        <v>41</v>
      </c>
      <c r="B42" s="35">
        <v>130000</v>
      </c>
      <c r="C42" s="35" t="s">
        <v>53</v>
      </c>
      <c r="D42" s="34" t="s">
        <v>151</v>
      </c>
    </row>
    <row r="43" spans="1:4">
      <c r="A43" s="35">
        <v>42</v>
      </c>
      <c r="B43" s="35">
        <v>0</v>
      </c>
      <c r="C43" s="35" t="s">
        <v>53</v>
      </c>
      <c r="D43" s="34" t="s">
        <v>152</v>
      </c>
    </row>
    <row r="44" spans="1:4">
      <c r="A44" s="35">
        <v>43</v>
      </c>
      <c r="B44" s="35">
        <v>10000</v>
      </c>
      <c r="C44" s="35" t="s">
        <v>53</v>
      </c>
      <c r="D44" s="34" t="s">
        <v>22</v>
      </c>
    </row>
    <row r="45" spans="1:4">
      <c r="A45" s="35">
        <v>44</v>
      </c>
      <c r="B45" s="35">
        <v>100000</v>
      </c>
      <c r="C45" s="35" t="s">
        <v>53</v>
      </c>
      <c r="D45" s="34" t="s">
        <v>23</v>
      </c>
    </row>
    <row r="46" spans="1:4">
      <c r="A46" s="35">
        <v>45</v>
      </c>
      <c r="B46" s="35">
        <v>220000</v>
      </c>
      <c r="C46" s="35" t="s">
        <v>53</v>
      </c>
      <c r="D46" s="34" t="s">
        <v>24</v>
      </c>
    </row>
    <row r="47" spans="1:4">
      <c r="A47" s="35">
        <v>46</v>
      </c>
      <c r="B47" s="35">
        <v>10000</v>
      </c>
      <c r="C47" s="35" t="s">
        <v>53</v>
      </c>
      <c r="D47" s="34" t="s">
        <v>25</v>
      </c>
    </row>
    <row r="48" spans="1:4">
      <c r="A48" s="35">
        <v>47</v>
      </c>
      <c r="B48" s="35">
        <v>50000</v>
      </c>
      <c r="C48" s="35" t="s">
        <v>53</v>
      </c>
      <c r="D48" s="34" t="s">
        <v>153</v>
      </c>
    </row>
    <row r="49" spans="1:4">
      <c r="A49" s="35">
        <v>48</v>
      </c>
      <c r="B49" s="35">
        <v>10000</v>
      </c>
      <c r="C49" s="35" t="s">
        <v>53</v>
      </c>
      <c r="D49" s="34" t="s">
        <v>27</v>
      </c>
    </row>
    <row r="50" spans="1:4">
      <c r="A50" s="35">
        <v>49</v>
      </c>
      <c r="B50" s="35">
        <v>10000</v>
      </c>
      <c r="C50" s="35" t="s">
        <v>53</v>
      </c>
      <c r="D50" s="34" t="s">
        <v>154</v>
      </c>
    </row>
    <row r="51" spans="1:4">
      <c r="A51" s="35">
        <v>50</v>
      </c>
      <c r="B51" s="35">
        <v>2000000</v>
      </c>
      <c r="C51" s="35" t="s">
        <v>53</v>
      </c>
      <c r="D51" s="34" t="s">
        <v>162</v>
      </c>
    </row>
    <row r="52" spans="1:4">
      <c r="A52" s="35">
        <v>51</v>
      </c>
      <c r="B52" s="35">
        <v>3</v>
      </c>
      <c r="C52" s="35" t="s">
        <v>53</v>
      </c>
      <c r="D52" s="34" t="s">
        <v>163</v>
      </c>
    </row>
    <row r="53" spans="1:4">
      <c r="A53" s="35">
        <v>52</v>
      </c>
      <c r="B53" s="35">
        <v>1500</v>
      </c>
      <c r="C53" s="35" t="s">
        <v>53</v>
      </c>
      <c r="D53" s="34" t="s">
        <v>164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
  <sheetViews>
    <sheetView zoomScaleNormal="100" workbookViewId="0">
      <selection activeCell="B2" sqref="B2"/>
    </sheetView>
  </sheetViews>
  <sheetFormatPr defaultRowHeight="13.2"/>
  <cols>
    <col min="4" max="4" width="35.88671875" bestFit="1" customWidth="1"/>
  </cols>
  <sheetData>
    <row r="1" spans="1:4">
      <c r="A1" s="35" t="s">
        <v>167</v>
      </c>
      <c r="B1" s="35" t="s">
        <v>50</v>
      </c>
      <c r="C1" s="35" t="s">
        <v>51</v>
      </c>
      <c r="D1" s="35" t="s">
        <v>52</v>
      </c>
    </row>
    <row r="2" spans="1:4">
      <c r="A2" s="35">
        <v>1</v>
      </c>
      <c r="B2" s="35">
        <v>6</v>
      </c>
      <c r="C2" s="35" t="s">
        <v>53</v>
      </c>
      <c r="D2" s="35" t="s">
        <v>206</v>
      </c>
    </row>
    <row r="3" spans="1:4">
      <c r="A3" s="35">
        <v>2</v>
      </c>
      <c r="B3" s="35">
        <v>8</v>
      </c>
      <c r="C3" s="35" t="s">
        <v>53</v>
      </c>
      <c r="D3" s="35" t="s">
        <v>207</v>
      </c>
    </row>
    <row r="4" spans="1:4">
      <c r="A4" s="35">
        <v>3</v>
      </c>
      <c r="B4" s="35">
        <v>1000</v>
      </c>
      <c r="C4" s="35" t="s">
        <v>53</v>
      </c>
      <c r="D4" s="35" t="s">
        <v>208</v>
      </c>
    </row>
    <row r="5" spans="1:4">
      <c r="A5" s="35">
        <v>4</v>
      </c>
      <c r="B5" s="35">
        <v>100</v>
      </c>
      <c r="C5" s="35" t="s">
        <v>53</v>
      </c>
      <c r="D5" s="35" t="s">
        <v>209</v>
      </c>
    </row>
  </sheetData>
  <phoneticPr fontId="2"/>
  <pageMargins left="0.7" right="0.7" top="0.75" bottom="0.75" header="0.3" footer="0.3"/>
  <pageSetup paperSize="9" orientation="portrait" r:id="rId1"/>
  <headerFooter>
    <oddHeader>&amp;L&amp;A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workbookViewId="0">
      <selection activeCell="C27" sqref="C27"/>
    </sheetView>
  </sheetViews>
  <sheetFormatPr defaultRowHeight="13.2"/>
  <cols>
    <col min="1" max="1" width="11.6640625" bestFit="1" customWidth="1"/>
  </cols>
  <sheetData>
    <row r="1" spans="1:2">
      <c r="A1" t="s">
        <v>453</v>
      </c>
    </row>
    <row r="2" spans="1:2">
      <c r="A2" s="296">
        <v>43556</v>
      </c>
      <c r="B2" t="s">
        <v>454</v>
      </c>
    </row>
    <row r="3" spans="1:2">
      <c r="A3" s="296">
        <v>43840</v>
      </c>
      <c r="B3" t="s">
        <v>455</v>
      </c>
    </row>
    <row r="4" spans="1:2">
      <c r="A4" s="296">
        <v>44056</v>
      </c>
      <c r="B4" t="s">
        <v>456</v>
      </c>
    </row>
    <row r="5" spans="1:2">
      <c r="A5" s="296">
        <v>44200</v>
      </c>
      <c r="B5" t="s">
        <v>457</v>
      </c>
    </row>
    <row r="6" spans="1:2">
      <c r="A6" s="296">
        <v>44273</v>
      </c>
      <c r="B6" t="s">
        <v>485</v>
      </c>
    </row>
    <row r="7" spans="1:2">
      <c r="A7" s="296">
        <v>44287</v>
      </c>
      <c r="B7" t="s">
        <v>506</v>
      </c>
    </row>
    <row r="8" spans="1:2">
      <c r="A8" s="296">
        <v>44652</v>
      </c>
      <c r="B8" t="s">
        <v>516</v>
      </c>
    </row>
    <row r="9" spans="1:2">
      <c r="A9" s="296">
        <v>44753</v>
      </c>
      <c r="B9" t="s">
        <v>724</v>
      </c>
    </row>
    <row r="10" spans="1:2">
      <c r="A10" s="296">
        <v>44986</v>
      </c>
      <c r="B10" t="s">
        <v>731</v>
      </c>
    </row>
    <row r="11" spans="1:2">
      <c r="A11" s="296">
        <v>45243</v>
      </c>
      <c r="B11" t="s">
        <v>740</v>
      </c>
    </row>
    <row r="12" spans="1:2">
      <c r="A12" s="296">
        <v>45285</v>
      </c>
      <c r="B12" t="s">
        <v>741</v>
      </c>
    </row>
    <row r="13" spans="1:2">
      <c r="A13" s="296">
        <v>45364</v>
      </c>
      <c r="B13" t="s">
        <v>751</v>
      </c>
    </row>
    <row r="14" spans="1:2">
      <c r="A14" s="296">
        <v>45384</v>
      </c>
      <c r="B14" t="s">
        <v>752</v>
      </c>
    </row>
    <row r="15" spans="1:2">
      <c r="A15" s="296">
        <v>45454</v>
      </c>
      <c r="B15" t="s">
        <v>753</v>
      </c>
    </row>
    <row r="16" spans="1:2">
      <c r="A16" s="296">
        <v>45531</v>
      </c>
      <c r="B16" t="s">
        <v>764</v>
      </c>
    </row>
    <row r="17" spans="1:4">
      <c r="A17" s="296">
        <v>45719</v>
      </c>
      <c r="B17" t="s">
        <v>769</v>
      </c>
      <c r="D17" s="76" t="s">
        <v>906</v>
      </c>
    </row>
    <row r="18" spans="1:4">
      <c r="D18" t="s">
        <v>907</v>
      </c>
    </row>
    <row r="19" spans="1:4">
      <c r="D19" s="76" t="s">
        <v>765</v>
      </c>
    </row>
    <row r="20" spans="1:4">
      <c r="D20" s="76" t="s">
        <v>904</v>
      </c>
    </row>
    <row r="21" spans="1:4">
      <c r="D21" s="76" t="s">
        <v>905</v>
      </c>
    </row>
    <row r="22" spans="1:4">
      <c r="D22" s="76" t="s">
        <v>903</v>
      </c>
    </row>
    <row r="23" spans="1:4">
      <c r="A23" s="296">
        <v>45737</v>
      </c>
      <c r="B23" t="s">
        <v>925</v>
      </c>
    </row>
    <row r="24" spans="1:4">
      <c r="B24" t="s">
        <v>926</v>
      </c>
    </row>
    <row r="25" spans="1:4">
      <c r="A25" s="296">
        <v>46086</v>
      </c>
      <c r="B25" t="s">
        <v>1085</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34"/>
  <sheetViews>
    <sheetView view="pageBreakPreview" zoomScaleNormal="100" zoomScaleSheetLayoutView="100" workbookViewId="0">
      <selection activeCell="G10" sqref="G10"/>
    </sheetView>
  </sheetViews>
  <sheetFormatPr defaultRowHeight="13.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 min="18" max="28" width="9" style="39"/>
  </cols>
  <sheetData>
    <row r="1" spans="1:28">
      <c r="A1" s="611" t="s">
        <v>901</v>
      </c>
      <c r="B1" s="611"/>
      <c r="C1" s="611"/>
      <c r="D1" s="611"/>
      <c r="E1" s="611"/>
      <c r="F1" s="611"/>
      <c r="G1" s="611"/>
      <c r="H1" s="611"/>
      <c r="I1" s="611"/>
      <c r="J1" s="611"/>
      <c r="K1" s="611"/>
      <c r="L1" s="611"/>
      <c r="M1" s="611"/>
      <c r="N1" s="611"/>
      <c r="O1" s="611"/>
      <c r="P1" s="166"/>
      <c r="Q1" s="446"/>
      <c r="R1" s="611" t="s">
        <v>902</v>
      </c>
      <c r="S1" s="611"/>
      <c r="T1" s="611"/>
      <c r="U1" s="611"/>
      <c r="V1" s="611"/>
      <c r="W1" s="611"/>
      <c r="X1" s="611"/>
      <c r="Y1" s="611"/>
      <c r="Z1" s="611"/>
      <c r="AA1" s="611"/>
      <c r="AB1" s="611"/>
    </row>
    <row r="2" spans="1:28" ht="6" customHeight="1">
      <c r="A2" s="173"/>
      <c r="B2" s="173"/>
      <c r="C2" s="173"/>
      <c r="D2" s="173"/>
      <c r="E2" s="173"/>
      <c r="F2" s="173"/>
      <c r="G2" s="173"/>
      <c r="H2" s="173"/>
      <c r="I2" s="173"/>
      <c r="J2" s="173"/>
      <c r="K2" s="173"/>
      <c r="L2" s="173"/>
      <c r="M2" s="173"/>
      <c r="N2" s="173"/>
      <c r="O2" s="635">
        <f>MAX(修正履歴!A:A)</f>
        <v>46086</v>
      </c>
      <c r="P2" s="635"/>
      <c r="Q2" s="636"/>
    </row>
    <row r="3" spans="1:28">
      <c r="A3" s="174" t="s">
        <v>242</v>
      </c>
      <c r="B3" s="166"/>
      <c r="C3" s="166"/>
      <c r="D3" s="166"/>
      <c r="E3" s="166"/>
      <c r="F3" s="166"/>
      <c r="G3" s="173"/>
      <c r="H3" s="173"/>
      <c r="I3" s="173"/>
      <c r="J3" s="173"/>
      <c r="K3" s="173"/>
      <c r="L3" s="173"/>
      <c r="M3" s="173"/>
      <c r="N3" s="173"/>
      <c r="O3" s="635"/>
      <c r="P3" s="635"/>
      <c r="Q3" s="636"/>
      <c r="R3" s="396" t="s">
        <v>487</v>
      </c>
      <c r="S3" s="396"/>
      <c r="T3" s="396"/>
      <c r="U3" s="396"/>
      <c r="V3" s="396"/>
      <c r="W3" s="396"/>
      <c r="X3" s="396"/>
      <c r="Y3" s="396"/>
      <c r="Z3" s="396"/>
      <c r="AA3" s="396"/>
      <c r="AB3" s="396"/>
    </row>
    <row r="4" spans="1:28" ht="6" customHeight="1">
      <c r="A4" s="173"/>
      <c r="B4" s="174"/>
      <c r="C4" s="174"/>
      <c r="D4" s="174"/>
      <c r="E4" s="174"/>
      <c r="F4" s="174"/>
      <c r="G4" s="173"/>
      <c r="H4" s="173"/>
      <c r="I4" s="173"/>
      <c r="J4" s="173"/>
      <c r="K4" s="173"/>
      <c r="L4" s="173"/>
      <c r="M4" s="173"/>
      <c r="N4" s="173"/>
      <c r="O4" s="173"/>
      <c r="P4" s="166"/>
      <c r="Q4" s="446"/>
      <c r="R4" s="605" t="s">
        <v>922</v>
      </c>
      <c r="S4" s="605"/>
      <c r="T4" s="605"/>
      <c r="U4" s="605"/>
      <c r="V4" s="605"/>
      <c r="W4" s="605"/>
      <c r="X4" s="605"/>
      <c r="Y4" s="605"/>
      <c r="Z4" s="605"/>
      <c r="AA4" s="605"/>
      <c r="AB4" s="605"/>
    </row>
    <row r="5" spans="1:28">
      <c r="A5" s="173"/>
      <c r="B5" s="637" t="str">
        <f>海外居住者のための収入等申告書!B5</f>
        <v>　以下の者の申込等に際して、収入・所得等を提出すべき者のうちに１月１日時点で日本国外に居住している者がいるため、その収入・所得等の情報を申告します。</v>
      </c>
      <c r="C5" s="637"/>
      <c r="D5" s="637"/>
      <c r="E5" s="637"/>
      <c r="F5" s="637"/>
      <c r="G5" s="637"/>
      <c r="H5" s="637"/>
      <c r="I5" s="637"/>
      <c r="J5" s="637"/>
      <c r="K5" s="637"/>
      <c r="L5" s="637"/>
      <c r="M5" s="637"/>
      <c r="N5" s="637"/>
      <c r="O5" s="637"/>
      <c r="P5" s="166"/>
      <c r="Q5" s="446"/>
      <c r="R5" s="605"/>
      <c r="S5" s="605"/>
      <c r="T5" s="605"/>
      <c r="U5" s="605"/>
      <c r="V5" s="605"/>
      <c r="W5" s="605"/>
      <c r="X5" s="605"/>
      <c r="Y5" s="605"/>
      <c r="Z5" s="605"/>
      <c r="AA5" s="605"/>
      <c r="AB5" s="605"/>
    </row>
    <row r="6" spans="1:28">
      <c r="A6" s="173"/>
      <c r="B6" s="637"/>
      <c r="C6" s="637"/>
      <c r="D6" s="637"/>
      <c r="E6" s="637"/>
      <c r="F6" s="637"/>
      <c r="G6" s="637"/>
      <c r="H6" s="637"/>
      <c r="I6" s="637"/>
      <c r="J6" s="637"/>
      <c r="K6" s="637"/>
      <c r="L6" s="637"/>
      <c r="M6" s="637"/>
      <c r="N6" s="637"/>
      <c r="O6" s="637"/>
      <c r="P6" s="166"/>
      <c r="Q6" s="446"/>
      <c r="R6" s="605"/>
      <c r="S6" s="605"/>
      <c r="T6" s="605"/>
      <c r="U6" s="605"/>
      <c r="V6" s="605"/>
      <c r="W6" s="605"/>
      <c r="X6" s="605"/>
      <c r="Y6" s="605"/>
      <c r="Z6" s="605"/>
      <c r="AA6" s="605"/>
      <c r="AB6" s="605"/>
    </row>
    <row r="7" spans="1:28" ht="5.25" customHeight="1">
      <c r="A7" s="173"/>
      <c r="B7" s="173"/>
      <c r="C7" s="173"/>
      <c r="D7" s="173"/>
      <c r="E7" s="173"/>
      <c r="F7" s="173"/>
      <c r="G7" s="173"/>
      <c r="H7" s="173"/>
      <c r="I7" s="166"/>
      <c r="J7" s="174"/>
      <c r="K7" s="166"/>
      <c r="L7" s="447"/>
      <c r="M7" s="447"/>
      <c r="N7" s="447"/>
      <c r="O7" s="173"/>
      <c r="P7" s="166"/>
      <c r="Q7" s="446"/>
      <c r="R7" s="605"/>
      <c r="S7" s="605"/>
      <c r="T7" s="605"/>
      <c r="U7" s="605"/>
      <c r="V7" s="605"/>
      <c r="W7" s="605"/>
      <c r="X7" s="605"/>
      <c r="Y7" s="605"/>
      <c r="Z7" s="605"/>
      <c r="AA7" s="605"/>
      <c r="AB7" s="605"/>
    </row>
    <row r="8" spans="1:28" ht="13.8" thickBot="1">
      <c r="A8" s="173"/>
      <c r="B8" s="173"/>
      <c r="C8" s="173"/>
      <c r="D8" s="173"/>
      <c r="E8" s="173"/>
      <c r="F8" s="173"/>
      <c r="G8" s="173"/>
      <c r="H8" s="629" t="s">
        <v>331</v>
      </c>
      <c r="I8" s="629"/>
      <c r="J8" s="629"/>
      <c r="K8" s="629"/>
      <c r="L8" s="633">
        <v>46122</v>
      </c>
      <c r="M8" s="633"/>
      <c r="N8" s="633"/>
      <c r="O8" s="173"/>
      <c r="P8" s="166"/>
      <c r="Q8" s="446"/>
      <c r="R8" s="605" t="s">
        <v>340</v>
      </c>
      <c r="S8" s="605"/>
      <c r="T8" s="605"/>
      <c r="U8" s="605"/>
      <c r="V8" s="605"/>
      <c r="W8" s="605"/>
      <c r="X8" s="605"/>
      <c r="Y8" s="605"/>
      <c r="Z8" s="605"/>
      <c r="AA8" s="605"/>
      <c r="AB8" s="605"/>
    </row>
    <row r="9" spans="1:28" ht="9.9" customHeight="1">
      <c r="A9" s="173"/>
      <c r="B9" s="173"/>
      <c r="C9" s="173"/>
      <c r="D9" s="173"/>
      <c r="E9" s="173"/>
      <c r="F9" s="173"/>
      <c r="G9" s="173"/>
      <c r="H9" s="173"/>
      <c r="I9" s="166"/>
      <c r="J9" s="166"/>
      <c r="K9" s="166"/>
      <c r="L9" s="634" t="s">
        <v>768</v>
      </c>
      <c r="M9" s="634"/>
      <c r="N9" s="634"/>
      <c r="O9" s="173"/>
      <c r="P9" s="166"/>
      <c r="Q9" s="446"/>
      <c r="R9" s="605"/>
      <c r="S9" s="605"/>
      <c r="T9" s="605"/>
      <c r="U9" s="605"/>
      <c r="V9" s="605"/>
      <c r="W9" s="605"/>
      <c r="X9" s="605"/>
      <c r="Y9" s="605"/>
      <c r="Z9" s="605"/>
      <c r="AA9" s="605"/>
      <c r="AB9" s="605"/>
    </row>
    <row r="10" spans="1:28" ht="14.25" customHeight="1" thickBot="1">
      <c r="A10" s="173"/>
      <c r="B10" s="166"/>
      <c r="C10" s="178" t="s">
        <v>499</v>
      </c>
      <c r="D10" s="179">
        <v>2026</v>
      </c>
      <c r="E10" s="173"/>
      <c r="F10" s="178"/>
      <c r="G10" s="166"/>
      <c r="H10" s="629" t="s">
        <v>341</v>
      </c>
      <c r="I10" s="629"/>
      <c r="J10" s="629"/>
      <c r="K10" s="629"/>
      <c r="L10" s="630" t="s">
        <v>344</v>
      </c>
      <c r="M10" s="630"/>
      <c r="N10" s="630"/>
      <c r="O10" s="173"/>
      <c r="P10" s="166"/>
      <c r="Q10" s="446"/>
      <c r="R10" s="605" t="s">
        <v>1088</v>
      </c>
      <c r="S10" s="605"/>
      <c r="T10" s="605"/>
      <c r="U10" s="605"/>
      <c r="V10" s="605"/>
      <c r="W10" s="605"/>
      <c r="X10" s="605"/>
      <c r="Y10" s="605"/>
      <c r="Z10" s="605"/>
      <c r="AA10" s="605"/>
      <c r="AB10" s="605"/>
    </row>
    <row r="11" spans="1:28" ht="13.8" thickBot="1">
      <c r="A11" s="173"/>
      <c r="B11" s="166"/>
      <c r="C11" s="178" t="str">
        <f>IF(VLOOKUP(L10,計算シート!F15:G22,2,0)=4,"奨学生番号","申込受付番号")</f>
        <v>申込受付番号</v>
      </c>
      <c r="D11" s="575" t="s">
        <v>909</v>
      </c>
      <c r="E11" s="575"/>
      <c r="F11" s="575"/>
      <c r="G11" s="173" t="s">
        <v>378</v>
      </c>
      <c r="H11" s="448" t="s">
        <v>910</v>
      </c>
      <c r="I11" s="173" t="s">
        <v>378</v>
      </c>
      <c r="J11" s="631" t="s">
        <v>913</v>
      </c>
      <c r="K11" s="631"/>
      <c r="L11" s="631"/>
      <c r="M11" s="631"/>
      <c r="N11" s="631"/>
      <c r="O11" s="173"/>
      <c r="P11" s="166"/>
      <c r="Q11" s="446"/>
      <c r="R11" s="605"/>
      <c r="S11" s="605"/>
      <c r="T11" s="605"/>
      <c r="U11" s="605"/>
      <c r="V11" s="605"/>
      <c r="W11" s="605"/>
      <c r="X11" s="605"/>
      <c r="Y11" s="605"/>
      <c r="Z11" s="605"/>
      <c r="AA11" s="605"/>
      <c r="AB11" s="605"/>
    </row>
    <row r="12" spans="1:28" ht="6.75" customHeight="1">
      <c r="A12" s="173"/>
      <c r="B12" s="275"/>
      <c r="C12" s="449"/>
      <c r="D12" s="363"/>
      <c r="E12" s="363"/>
      <c r="F12" s="363"/>
      <c r="G12" s="450"/>
      <c r="H12" s="451"/>
      <c r="I12" s="450"/>
      <c r="J12" s="452"/>
      <c r="K12" s="452"/>
      <c r="L12" s="452"/>
      <c r="M12" s="452"/>
      <c r="N12" s="450"/>
      <c r="O12" s="173"/>
      <c r="P12" s="166"/>
      <c r="Q12" s="446"/>
      <c r="R12" s="605"/>
      <c r="S12" s="605"/>
      <c r="T12" s="605"/>
      <c r="U12" s="605"/>
      <c r="V12" s="605"/>
      <c r="W12" s="605"/>
      <c r="X12" s="605"/>
      <c r="Y12" s="605"/>
      <c r="Z12" s="605"/>
      <c r="AA12" s="605"/>
      <c r="AB12" s="605"/>
    </row>
    <row r="13" spans="1:28" ht="13.8" thickBot="1">
      <c r="A13" s="166"/>
      <c r="B13" s="453"/>
      <c r="C13" s="454" t="str">
        <f>IF(VLOOKUP(L10,計算シート!F15:G22,2,0)=4,"奨学生","申込者")&amp;"本人氏名"</f>
        <v>申込者本人氏名</v>
      </c>
      <c r="D13" s="558" t="s">
        <v>911</v>
      </c>
      <c r="E13" s="558"/>
      <c r="F13" s="558"/>
      <c r="G13" s="632" t="str">
        <f>IF(計算シート!C69=0,"本人生年月日","")</f>
        <v>本人生年月日</v>
      </c>
      <c r="H13" s="632"/>
      <c r="I13" s="633">
        <v>39543</v>
      </c>
      <c r="J13" s="633"/>
      <c r="K13" s="633"/>
      <c r="L13" s="633"/>
      <c r="M13" s="455" t="str">
        <f>IF(計算シート!C69=0,"（ yyyy / mm / dd ）","")</f>
        <v>（ yyyy / mm / dd ）</v>
      </c>
      <c r="N13" s="456"/>
      <c r="O13" s="166"/>
      <c r="P13" s="166"/>
      <c r="Q13" s="446"/>
      <c r="R13" s="605"/>
      <c r="S13" s="605"/>
      <c r="T13" s="605"/>
      <c r="U13" s="605"/>
      <c r="V13" s="605"/>
      <c r="W13" s="605"/>
      <c r="X13" s="605"/>
      <c r="Y13" s="605"/>
      <c r="Z13" s="605"/>
      <c r="AA13" s="605"/>
      <c r="AB13" s="605"/>
    </row>
    <row r="14" spans="1:28" ht="1.5" customHeight="1">
      <c r="A14" s="166"/>
      <c r="B14" s="275"/>
      <c r="C14" s="449"/>
      <c r="D14" s="457"/>
      <c r="E14" s="457"/>
      <c r="F14" s="457"/>
      <c r="G14" s="458"/>
      <c r="H14" s="458"/>
      <c r="I14" s="459"/>
      <c r="J14" s="459"/>
      <c r="K14" s="460"/>
      <c r="L14" s="460"/>
      <c r="M14" s="461"/>
      <c r="N14" s="460"/>
      <c r="O14" s="166"/>
      <c r="P14" s="166"/>
      <c r="Q14" s="446"/>
      <c r="R14" s="605"/>
      <c r="S14" s="605"/>
      <c r="T14" s="605"/>
      <c r="U14" s="605"/>
      <c r="V14" s="605"/>
      <c r="W14" s="605"/>
      <c r="X14" s="605"/>
      <c r="Y14" s="605"/>
      <c r="Z14" s="605"/>
      <c r="AA14" s="605"/>
      <c r="AB14" s="605"/>
    </row>
    <row r="15" spans="1:28" ht="14.25" customHeight="1" thickBot="1">
      <c r="A15" s="462"/>
      <c r="B15" s="453"/>
      <c r="C15" s="454" t="str">
        <f>IF(計算シート!C69=0,"生計維持者１","配偶者")&amp;"の氏名"</f>
        <v>生計維持者１の氏名</v>
      </c>
      <c r="D15" s="558" t="s">
        <v>912</v>
      </c>
      <c r="E15" s="558"/>
      <c r="F15" s="558"/>
      <c r="G15" s="570" t="str">
        <f>IF(計算シート!C69=0,"本人との続柄","")</f>
        <v>本人との続柄</v>
      </c>
      <c r="H15" s="570"/>
      <c r="I15" s="558" t="s">
        <v>892</v>
      </c>
      <c r="J15" s="558"/>
      <c r="K15" s="379"/>
      <c r="L15" s="379"/>
      <c r="M15" s="380"/>
      <c r="N15" s="381"/>
      <c r="O15" s="166"/>
      <c r="P15" s="166"/>
      <c r="Q15" s="446"/>
      <c r="R15" s="606" t="s">
        <v>361</v>
      </c>
      <c r="S15" s="605"/>
      <c r="T15" s="605"/>
      <c r="U15" s="605"/>
      <c r="V15" s="605"/>
      <c r="W15" s="605"/>
      <c r="X15" s="605"/>
      <c r="Y15" s="605"/>
      <c r="Z15" s="605"/>
      <c r="AA15" s="605"/>
      <c r="AB15" s="605"/>
    </row>
    <row r="16" spans="1:28" ht="2.1" customHeight="1">
      <c r="A16" s="166"/>
      <c r="B16" s="275"/>
      <c r="C16" s="449"/>
      <c r="D16" s="457"/>
      <c r="E16" s="457"/>
      <c r="F16" s="457"/>
      <c r="G16" s="382"/>
      <c r="H16" s="382"/>
      <c r="I16" s="383"/>
      <c r="J16" s="383"/>
      <c r="K16" s="384"/>
      <c r="L16" s="384"/>
      <c r="M16" s="385"/>
      <c r="N16" s="385"/>
      <c r="O16" s="166"/>
      <c r="P16" s="166"/>
      <c r="Q16" s="446"/>
      <c r="R16" s="606"/>
      <c r="S16" s="605"/>
      <c r="T16" s="605"/>
      <c r="U16" s="605"/>
      <c r="V16" s="605"/>
      <c r="W16" s="605"/>
      <c r="X16" s="605"/>
      <c r="Y16" s="605"/>
      <c r="Z16" s="605"/>
      <c r="AA16" s="605"/>
      <c r="AB16" s="605"/>
    </row>
    <row r="17" spans="1:28" ht="13.8" thickBot="1">
      <c r="A17" s="462"/>
      <c r="B17" s="453"/>
      <c r="C17" s="454" t="str">
        <f>IF(AND(計算シート!C69=0,NOT(OR(F36="いいえ",I15="祖父",I15="祖母",I15="その他"))),"生計維持者２"&amp;"の氏名","")</f>
        <v>生計維持者２の氏名</v>
      </c>
      <c r="D17" s="558" t="s">
        <v>311</v>
      </c>
      <c r="E17" s="558"/>
      <c r="F17" s="558"/>
      <c r="G17" s="578" t="str">
        <f>IF(AND(計算シート!C69=0,NOT(OR(F36="いいえ",I15="祖父",I15="祖母",I15="その他"))),"本人との続柄","")</f>
        <v>本人との続柄</v>
      </c>
      <c r="H17" s="578"/>
      <c r="I17" s="568" t="s">
        <v>893</v>
      </c>
      <c r="J17" s="568"/>
      <c r="K17" s="570" t="str">
        <f>IF(AND(計算シート!C69=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70"/>
      <c r="M17" s="570"/>
      <c r="N17" s="571"/>
      <c r="O17" s="166"/>
      <c r="P17" s="166"/>
      <c r="Q17" s="446"/>
      <c r="R17" s="606"/>
      <c r="S17" s="605"/>
      <c r="T17" s="605"/>
      <c r="U17" s="605"/>
      <c r="V17" s="605"/>
      <c r="W17" s="605"/>
      <c r="X17" s="605"/>
      <c r="Y17" s="605"/>
      <c r="Z17" s="605"/>
      <c r="AA17" s="605"/>
      <c r="AB17" s="605"/>
    </row>
    <row r="18" spans="1:28" ht="2.1" customHeight="1">
      <c r="A18" s="166"/>
      <c r="B18" s="166"/>
      <c r="C18" s="178"/>
      <c r="D18" s="353"/>
      <c r="E18" s="353"/>
      <c r="F18" s="353"/>
      <c r="G18" s="463"/>
      <c r="H18" s="463"/>
      <c r="I18" s="354"/>
      <c r="J18" s="354"/>
      <c r="K18" s="166"/>
      <c r="L18" s="464"/>
      <c r="M18" s="464"/>
      <c r="N18" s="161"/>
      <c r="O18" s="166"/>
      <c r="P18" s="166"/>
      <c r="Q18" s="446"/>
      <c r="R18" s="606"/>
      <c r="S18" s="605"/>
      <c r="T18" s="605"/>
      <c r="U18" s="605"/>
      <c r="V18" s="605"/>
      <c r="W18" s="605"/>
      <c r="X18" s="605"/>
      <c r="Y18" s="605"/>
      <c r="Z18" s="605"/>
      <c r="AA18" s="605"/>
      <c r="AB18" s="605"/>
    </row>
    <row r="19" spans="1:28" ht="13.5" customHeight="1">
      <c r="A19" s="166"/>
      <c r="B19" s="174" t="str">
        <f>"※ 以下、収入（所得）は【"&amp;YEAR(計算シート!C47)-1&amp;"年1月1日～12月31日】のものを入力してください。"</f>
        <v>※ 以下、収入（所得）は【2025年1月1日～12月31日】のものを入力してください。</v>
      </c>
      <c r="C19" s="174"/>
      <c r="D19" s="174"/>
      <c r="E19" s="174"/>
      <c r="F19" s="174"/>
      <c r="G19" s="165"/>
      <c r="H19" s="165"/>
      <c r="I19" s="164"/>
      <c r="J19" s="164"/>
      <c r="K19" s="164"/>
      <c r="L19" s="161"/>
      <c r="M19" s="161"/>
      <c r="N19" s="161"/>
      <c r="O19" s="166"/>
      <c r="P19" s="166"/>
      <c r="Q19" s="446"/>
      <c r="R19" s="606"/>
      <c r="S19" s="605"/>
      <c r="T19" s="605"/>
      <c r="U19" s="605"/>
      <c r="V19" s="605"/>
      <c r="W19" s="605"/>
      <c r="X19" s="605"/>
      <c r="Y19" s="605"/>
      <c r="Z19" s="605"/>
      <c r="AA19" s="605"/>
      <c r="AB19" s="605"/>
    </row>
    <row r="20" spans="1:28" ht="13.5" customHeight="1">
      <c r="A20" s="166"/>
      <c r="B20" s="174" t="str">
        <f>"    扶養等の情報は【"&amp;YEAR(計算シート!C47)-1&amp;"年12月31日】現在のものを入力してください。"</f>
        <v xml:space="preserve">    扶養等の情報は【2025年12月31日】現在のものを入力してください。</v>
      </c>
      <c r="C20" s="174"/>
      <c r="D20" s="174"/>
      <c r="E20" s="174"/>
      <c r="F20" s="174"/>
      <c r="G20" s="165"/>
      <c r="H20" s="165"/>
      <c r="I20" s="164"/>
      <c r="J20" s="164"/>
      <c r="K20" s="164"/>
      <c r="L20" s="161"/>
      <c r="M20" s="161"/>
      <c r="N20" s="161"/>
      <c r="O20" s="166"/>
      <c r="P20" s="166"/>
      <c r="Q20" s="446"/>
      <c r="R20" s="605" t="s">
        <v>309</v>
      </c>
      <c r="S20" s="605"/>
      <c r="T20" s="605"/>
      <c r="U20" s="605"/>
      <c r="V20" s="605"/>
      <c r="W20" s="605"/>
      <c r="X20" s="605"/>
      <c r="Y20" s="605"/>
      <c r="Z20" s="605"/>
      <c r="AA20" s="605"/>
      <c r="AB20" s="605"/>
    </row>
    <row r="21" spans="1:28" ht="3.75" customHeight="1" thickBot="1">
      <c r="A21" s="183"/>
      <c r="B21" s="183"/>
      <c r="C21" s="183"/>
      <c r="D21" s="183"/>
      <c r="E21" s="183"/>
      <c r="F21" s="183"/>
      <c r="G21" s="183"/>
      <c r="H21" s="166"/>
      <c r="I21" s="166"/>
      <c r="J21" s="166"/>
      <c r="K21" s="166"/>
      <c r="L21" s="166"/>
      <c r="M21" s="166"/>
      <c r="N21" s="166"/>
      <c r="O21" s="166"/>
      <c r="P21" s="166"/>
      <c r="Q21" s="446"/>
      <c r="R21" s="605"/>
      <c r="S21" s="605"/>
      <c r="T21" s="605"/>
      <c r="U21" s="605"/>
      <c r="V21" s="605"/>
      <c r="W21" s="605"/>
      <c r="X21" s="605"/>
      <c r="Y21" s="605"/>
      <c r="Z21" s="605"/>
      <c r="AA21" s="605"/>
      <c r="AB21" s="605"/>
    </row>
    <row r="22" spans="1:28" s="76" customFormat="1" ht="15.6" customHeight="1" thickTop="1">
      <c r="A22" s="184" t="str">
        <f>IF(計算シート!C69=0,"奨学生本人情報","※大学院申込の場合、この欄は入力不要です")</f>
        <v>奨学生本人情報</v>
      </c>
      <c r="B22" s="185"/>
      <c r="C22" s="185"/>
      <c r="D22" s="185"/>
      <c r="E22" s="185"/>
      <c r="F22" s="185"/>
      <c r="G22" s="186"/>
      <c r="H22" s="465"/>
      <c r="I22" s="188" t="s">
        <v>318</v>
      </c>
      <c r="J22" s="189"/>
      <c r="K22" s="189"/>
      <c r="L22" s="189"/>
      <c r="M22" s="189"/>
      <c r="N22" s="186"/>
      <c r="O22" s="187"/>
      <c r="P22" s="187"/>
      <c r="Q22" s="466"/>
      <c r="R22" s="605"/>
      <c r="S22" s="605"/>
      <c r="T22" s="605"/>
      <c r="U22" s="605"/>
      <c r="V22" s="605"/>
      <c r="W22" s="605"/>
      <c r="X22" s="605"/>
      <c r="Y22" s="605"/>
      <c r="Z22" s="605"/>
      <c r="AA22" s="605"/>
      <c r="AB22" s="605"/>
    </row>
    <row r="23" spans="1:28" s="76" customFormat="1" ht="12.9" customHeight="1" thickBot="1">
      <c r="A23" s="191" t="s">
        <v>261</v>
      </c>
      <c r="B23" s="622" t="str">
        <f>IF(計算シート!C69=0,"生年月日（yyyy/mm/dd）","")</f>
        <v>生年月日（yyyy/mm/dd）</v>
      </c>
      <c r="C23" s="623"/>
      <c r="D23" s="623"/>
      <c r="E23" s="300"/>
      <c r="F23" s="301">
        <f>I13</f>
        <v>39543</v>
      </c>
      <c r="G23" s="196"/>
      <c r="H23" s="187"/>
      <c r="I23" s="195" t="s">
        <v>319</v>
      </c>
      <c r="J23" s="185"/>
      <c r="K23" s="185"/>
      <c r="L23" s="185"/>
      <c r="M23" s="185"/>
      <c r="N23" s="196"/>
      <c r="O23" s="187"/>
      <c r="P23" s="187"/>
      <c r="Q23" s="466"/>
      <c r="R23" s="605"/>
      <c r="S23" s="605"/>
      <c r="T23" s="605"/>
      <c r="U23" s="605"/>
      <c r="V23" s="605"/>
      <c r="W23" s="605"/>
      <c r="X23" s="605"/>
      <c r="Y23" s="605"/>
      <c r="Z23" s="605"/>
      <c r="AA23" s="605"/>
      <c r="AB23" s="605"/>
    </row>
    <row r="24" spans="1:28" s="76" customFormat="1" ht="12.9" customHeight="1" thickBot="1">
      <c r="A24" s="197" t="s">
        <v>262</v>
      </c>
      <c r="B24" s="607" t="str">
        <f>IF(計算シート!C69=0,"どちらの生計維持者に扶養されていますか","")</f>
        <v>どちらの生計維持者に扶養されていますか</v>
      </c>
      <c r="C24" s="608"/>
      <c r="D24" s="608"/>
      <c r="E24" s="187"/>
      <c r="F24" s="199" t="s">
        <v>38</v>
      </c>
      <c r="G24" s="196"/>
      <c r="H24" s="187"/>
      <c r="I24" s="195" t="s">
        <v>320</v>
      </c>
      <c r="J24" s="185"/>
      <c r="K24" s="185"/>
      <c r="L24" s="185"/>
      <c r="M24" s="185"/>
      <c r="N24" s="196"/>
      <c r="O24" s="187"/>
      <c r="P24" s="187"/>
      <c r="Q24" s="466"/>
      <c r="R24" s="605"/>
      <c r="S24" s="605"/>
      <c r="T24" s="605"/>
      <c r="U24" s="605"/>
      <c r="V24" s="605"/>
      <c r="W24" s="605"/>
      <c r="X24" s="605"/>
      <c r="Y24" s="605"/>
      <c r="Z24" s="605"/>
      <c r="AA24" s="605"/>
      <c r="AB24" s="605"/>
    </row>
    <row r="25" spans="1:28" s="76" customFormat="1" ht="12.9" customHeight="1" thickBot="1">
      <c r="A25" s="197" t="s">
        <v>263</v>
      </c>
      <c r="B25" s="627" t="str">
        <f>IF(計算シート!C69=0,"障がい者に該当していますか","")</f>
        <v>障がい者に該当していますか</v>
      </c>
      <c r="C25" s="628"/>
      <c r="D25" s="628"/>
      <c r="E25" s="200"/>
      <c r="F25" s="201" t="s">
        <v>211</v>
      </c>
      <c r="G25" s="196"/>
      <c r="H25" s="187"/>
      <c r="I25" s="195" t="s">
        <v>321</v>
      </c>
      <c r="J25" s="185"/>
      <c r="K25" s="185"/>
      <c r="L25" s="185"/>
      <c r="M25" s="185"/>
      <c r="N25" s="196"/>
      <c r="O25" s="187"/>
      <c r="P25" s="187"/>
      <c r="Q25" s="466"/>
      <c r="R25" s="397" t="s">
        <v>488</v>
      </c>
      <c r="S25" s="398"/>
      <c r="T25" s="398"/>
      <c r="U25" s="398"/>
      <c r="V25" s="398"/>
      <c r="W25" s="398"/>
      <c r="X25" s="398"/>
      <c r="Y25" s="398"/>
      <c r="Z25" s="398"/>
      <c r="AA25" s="398"/>
      <c r="AB25" s="398"/>
    </row>
    <row r="26" spans="1:28" s="76" customFormat="1" ht="12.9" customHeight="1" thickBot="1">
      <c r="A26" s="197" t="s">
        <v>264</v>
      </c>
      <c r="B26" s="607" t="str">
        <f>IF(計算シート!C69=0,"　生計維持者と同居していますか","")</f>
        <v>　生計維持者と同居していますか</v>
      </c>
      <c r="C26" s="608"/>
      <c r="D26" s="608"/>
      <c r="E26" s="200"/>
      <c r="F26" s="203" t="s">
        <v>40</v>
      </c>
      <c r="G26" s="196"/>
      <c r="H26" s="187"/>
      <c r="I26" s="467">
        <v>1</v>
      </c>
      <c r="J26" s="614" t="s">
        <v>322</v>
      </c>
      <c r="K26" s="615"/>
      <c r="L26" s="615"/>
      <c r="M26" s="615"/>
      <c r="N26" s="468" t="s">
        <v>323</v>
      </c>
      <c r="O26" s="187"/>
      <c r="P26" s="187"/>
      <c r="Q26" s="466"/>
      <c r="R26" s="398" t="s">
        <v>489</v>
      </c>
      <c r="S26" s="398"/>
      <c r="T26" s="398"/>
      <c r="U26" s="398"/>
      <c r="V26" s="398"/>
      <c r="W26" s="398"/>
      <c r="X26" s="398"/>
      <c r="Y26" s="398"/>
      <c r="Z26" s="398"/>
      <c r="AA26" s="398"/>
      <c r="AB26" s="398"/>
    </row>
    <row r="27" spans="1:28" s="76" customFormat="1" ht="12.9" customHeight="1" thickBot="1">
      <c r="A27" s="197" t="s">
        <v>265</v>
      </c>
      <c r="B27" s="607" t="str">
        <f>IF(計算シート!C69=0,"奨学生本人に収入（所得）がありますか","")</f>
        <v>奨学生本人に収入（所得）がありますか</v>
      </c>
      <c r="C27" s="608"/>
      <c r="D27" s="608"/>
      <c r="E27" s="208"/>
      <c r="F27" s="199" t="s">
        <v>40</v>
      </c>
      <c r="G27" s="196"/>
      <c r="H27" s="187"/>
      <c r="I27" s="467">
        <v>2</v>
      </c>
      <c r="J27" s="615" t="s">
        <v>329</v>
      </c>
      <c r="K27" s="615"/>
      <c r="L27" s="615"/>
      <c r="M27" s="615"/>
      <c r="N27" s="468" t="str">
        <f>IF(F36="はい","○"&amp;IF(VLOOKUP(L10,計算シート!F15:G22,2,0)=4,"※",""),"")</f>
        <v>○</v>
      </c>
      <c r="O27" s="187"/>
      <c r="P27" s="187"/>
      <c r="Q27" s="466"/>
      <c r="R27" s="397" t="s">
        <v>923</v>
      </c>
      <c r="S27" s="398"/>
      <c r="T27" s="398"/>
      <c r="U27" s="398"/>
      <c r="V27" s="398"/>
      <c r="W27" s="398"/>
      <c r="X27" s="398"/>
      <c r="Y27" s="398"/>
      <c r="Z27" s="398"/>
      <c r="AA27" s="398"/>
      <c r="AB27" s="398"/>
    </row>
    <row r="28" spans="1:28" s="76" customFormat="1" ht="12.9" customHeight="1" thickBot="1">
      <c r="A28" s="197" t="s">
        <v>266</v>
      </c>
      <c r="B28" s="607" t="str">
        <f>IF(計算シート!C69=0,"　給与収入金額の通貨","")</f>
        <v>　給与収入金額の通貨</v>
      </c>
      <c r="C28" s="608"/>
      <c r="D28" s="608"/>
      <c r="E28" s="208"/>
      <c r="F28" s="203" t="s">
        <v>49</v>
      </c>
      <c r="G28" s="196"/>
      <c r="H28" s="187"/>
      <c r="I28" s="467">
        <v>3</v>
      </c>
      <c r="J28" s="614" t="s">
        <v>328</v>
      </c>
      <c r="K28" s="615"/>
      <c r="L28" s="615"/>
      <c r="M28" s="615"/>
      <c r="N28" s="468" t="str">
        <f>IF(SUM(F51:F60,L51:L60)&gt;0,"○","")</f>
        <v>○</v>
      </c>
      <c r="O28" s="187"/>
      <c r="P28" s="187"/>
      <c r="Q28" s="466"/>
      <c r="R28" s="397" t="s">
        <v>495</v>
      </c>
      <c r="S28" s="395"/>
      <c r="T28" s="395"/>
      <c r="U28" s="395"/>
      <c r="V28" s="395"/>
      <c r="W28" s="395"/>
      <c r="X28" s="395"/>
      <c r="Y28" s="395"/>
      <c r="Z28" s="395"/>
      <c r="AA28" s="395"/>
      <c r="AB28" s="395"/>
    </row>
    <row r="29" spans="1:28" s="76" customFormat="1" ht="12.9" customHeight="1" thickBot="1">
      <c r="A29" s="197" t="s">
        <v>267</v>
      </c>
      <c r="B29" s="607" t="str">
        <f>IF(計算シート!C69=0,"　　給与収入金額","")</f>
        <v>　　給与収入金額</v>
      </c>
      <c r="C29" s="608"/>
      <c r="D29" s="608"/>
      <c r="E29" s="187"/>
      <c r="F29" s="469">
        <v>1000000</v>
      </c>
      <c r="G29" s="194" t="str">
        <f>MID(F28,SEARCH("(",F28)+1,3)</f>
        <v>JPY</v>
      </c>
      <c r="H29" s="187"/>
      <c r="I29" s="467">
        <v>4</v>
      </c>
      <c r="J29" s="614" t="str">
        <f>IF(計算シート!C69=0,"生計維持者が１人のみであることを証するもの","ひとり親世帯に関するもの")</f>
        <v>生計維持者が１人のみであることを証するもの</v>
      </c>
      <c r="K29" s="615"/>
      <c r="L29" s="615"/>
      <c r="M29" s="615"/>
      <c r="N29" s="468" t="str">
        <f>IF(OR(AND(計算シート!C69=0,F36="いいえ"),AND(計算シート!C69=1,F40="ひとり親である")),"○","")</f>
        <v/>
      </c>
      <c r="O29" s="187"/>
      <c r="P29" s="187"/>
      <c r="Q29" s="466"/>
      <c r="R29" s="397" t="s">
        <v>1077</v>
      </c>
      <c r="S29" s="395"/>
      <c r="T29" s="395"/>
      <c r="U29" s="395"/>
      <c r="V29" s="395"/>
      <c r="W29" s="395"/>
      <c r="X29" s="395"/>
      <c r="Y29" s="395"/>
      <c r="Z29" s="395"/>
      <c r="AA29" s="395"/>
      <c r="AB29" s="395"/>
    </row>
    <row r="30" spans="1:28" s="76" customFormat="1" ht="12.9" customHeight="1" thickBot="1">
      <c r="A30" s="197" t="s">
        <v>268</v>
      </c>
      <c r="B30" s="607" t="str">
        <f>IF(計算シート!C69=0,"　給与・年金以外の所得の通貨","")</f>
        <v>　給与・年金以外の所得の通貨</v>
      </c>
      <c r="C30" s="608"/>
      <c r="D30" s="608"/>
      <c r="E30" s="208"/>
      <c r="F30" s="203" t="s">
        <v>49</v>
      </c>
      <c r="G30" s="196"/>
      <c r="H30" s="187"/>
      <c r="I30" s="467">
        <v>5</v>
      </c>
      <c r="J30" s="614" t="s">
        <v>326</v>
      </c>
      <c r="K30" s="615"/>
      <c r="L30" s="615"/>
      <c r="M30" s="615"/>
      <c r="N30" s="468" t="str">
        <f>IF(OR(F25="障がい者である",F25="特別の障がい者である",F39="障がい者である",F39="特別の障がい者である",L39="障がい者である",L39="特別の障がい者である",SUM(F58:F60,L58:L60)&gt;0),"○","")</f>
        <v>○</v>
      </c>
      <c r="O30" s="187"/>
      <c r="P30" s="187"/>
      <c r="Q30" s="466"/>
      <c r="R30" s="605" t="s">
        <v>1078</v>
      </c>
      <c r="S30" s="605"/>
      <c r="T30" s="605"/>
      <c r="U30" s="605"/>
      <c r="V30" s="605"/>
      <c r="W30" s="605"/>
      <c r="X30" s="605"/>
      <c r="Y30" s="605"/>
      <c r="Z30" s="605"/>
      <c r="AA30" s="605"/>
      <c r="AB30" s="605"/>
    </row>
    <row r="31" spans="1:28" s="76" customFormat="1" ht="12.9" customHeight="1" thickBot="1">
      <c r="A31" s="213" t="s">
        <v>269</v>
      </c>
      <c r="B31" s="609" t="str">
        <f>IF(計算シート!C69=0,"　　給与・年金以外の所得の金額","")</f>
        <v>　　給与・年金以外の所得の金額</v>
      </c>
      <c r="C31" s="610"/>
      <c r="D31" s="610"/>
      <c r="E31" s="215"/>
      <c r="F31" s="469">
        <v>0</v>
      </c>
      <c r="G31" s="216" t="str">
        <f>MID(F30,SEARCH("(",F30)+1,3)</f>
        <v>JPY</v>
      </c>
      <c r="H31" s="187"/>
      <c r="I31" s="217"/>
      <c r="J31" s="218"/>
      <c r="K31" s="218"/>
      <c r="L31" s="218"/>
      <c r="M31" s="218"/>
      <c r="N31" s="219"/>
      <c r="O31" s="187"/>
      <c r="P31" s="187"/>
      <c r="Q31" s="466"/>
      <c r="R31" s="605"/>
      <c r="S31" s="605"/>
      <c r="T31" s="605"/>
      <c r="U31" s="605"/>
      <c r="V31" s="605"/>
      <c r="W31" s="605"/>
      <c r="X31" s="605"/>
      <c r="Y31" s="605"/>
      <c r="Z31" s="605"/>
      <c r="AA31" s="605"/>
      <c r="AB31" s="605"/>
    </row>
    <row r="32" spans="1:28" s="76" customFormat="1" ht="3" customHeight="1" thickTop="1">
      <c r="A32" s="187"/>
      <c r="B32" s="187"/>
      <c r="C32" s="187"/>
      <c r="D32" s="187"/>
      <c r="E32" s="187"/>
      <c r="F32" s="187"/>
      <c r="G32" s="187"/>
      <c r="H32" s="187"/>
      <c r="I32" s="187"/>
      <c r="J32" s="187"/>
      <c r="K32" s="187"/>
      <c r="L32" s="187"/>
      <c r="M32" s="187"/>
      <c r="N32" s="187"/>
      <c r="O32" s="187"/>
      <c r="P32" s="187"/>
      <c r="Q32" s="466"/>
      <c r="R32" s="605"/>
      <c r="S32" s="605"/>
      <c r="T32" s="605"/>
      <c r="U32" s="605"/>
      <c r="V32" s="605"/>
      <c r="W32" s="605"/>
      <c r="X32" s="605"/>
      <c r="Y32" s="605"/>
      <c r="Z32" s="605"/>
      <c r="AA32" s="605"/>
      <c r="AB32" s="605"/>
    </row>
    <row r="33" spans="1:28" s="76" customFormat="1" ht="14.1" customHeight="1" thickBot="1">
      <c r="A33" s="221"/>
      <c r="B33" s="221"/>
      <c r="C33" s="221"/>
      <c r="D33" s="221"/>
      <c r="E33" s="222"/>
      <c r="F33" s="223" t="str">
        <f>IF(計算シート!C69=0,"生計維持者１","申込者本人")</f>
        <v>生計維持者１</v>
      </c>
      <c r="G33" s="226"/>
      <c r="H33" s="223"/>
      <c r="I33" s="224"/>
      <c r="J33" s="221"/>
      <c r="K33" s="222"/>
      <c r="L33" s="225" t="str">
        <f>IF(計算シート!C69=0,IF(AND(F36="はい",OR(I15="その他",L15="祖父",L15="祖母")),"生計維持者１の配偶者",IF(AND(F36="はい",OR(AND(I15="父",I17="母"),AND(I15="母",I17="父"))),"生計維持者２","")),IF(F36="はい","申込者本人の配偶者",""))</f>
        <v>生計維持者２</v>
      </c>
      <c r="M33" s="225" t="s">
        <v>927</v>
      </c>
      <c r="N33" s="470"/>
      <c r="O33" s="471"/>
      <c r="P33" s="227"/>
      <c r="Q33" s="466"/>
      <c r="R33" s="605"/>
      <c r="S33" s="605"/>
      <c r="T33" s="605"/>
      <c r="U33" s="605"/>
      <c r="V33" s="605"/>
      <c r="W33" s="605"/>
      <c r="X33" s="605"/>
      <c r="Y33" s="605"/>
      <c r="Z33" s="605"/>
      <c r="AA33" s="605"/>
      <c r="AB33" s="605"/>
    </row>
    <row r="34" spans="1:28" s="76" customFormat="1" ht="15.6" customHeight="1" thickTop="1" thickBot="1">
      <c r="A34" s="188" t="str">
        <f>IF(計算シート!C69=0,"生計維持者","申込者本人")&amp;"の基本情報"</f>
        <v>生計維持者の基本情報</v>
      </c>
      <c r="B34" s="472"/>
      <c r="C34" s="472"/>
      <c r="D34" s="472"/>
      <c r="E34" s="473"/>
      <c r="F34" s="185"/>
      <c r="G34" s="185"/>
      <c r="H34" s="185"/>
      <c r="I34" s="229"/>
      <c r="J34" s="185"/>
      <c r="K34" s="228"/>
      <c r="L34" s="230" t="str">
        <f>IF(OR(L33="生計維持者１の配偶者",L33="申込者本人の配偶者"),"(配偶者の基本情報）","")</f>
        <v/>
      </c>
      <c r="M34" s="186"/>
      <c r="N34" s="392" t="s">
        <v>928</v>
      </c>
      <c r="O34" s="187"/>
      <c r="P34" s="231"/>
      <c r="Q34" s="466"/>
      <c r="R34" s="398" t="s">
        <v>1079</v>
      </c>
      <c r="S34" s="398"/>
      <c r="T34" s="396"/>
      <c r="U34" s="396"/>
      <c r="V34" s="396"/>
      <c r="W34" s="396"/>
      <c r="X34" s="396"/>
      <c r="Y34" s="396"/>
      <c r="Z34" s="396"/>
      <c r="AA34" s="396"/>
      <c r="AB34" s="396"/>
    </row>
    <row r="35" spans="1:28" s="76" customFormat="1" ht="12.9" customHeight="1" thickBot="1">
      <c r="A35" s="232" t="s">
        <v>270</v>
      </c>
      <c r="B35" s="607" t="s">
        <v>351</v>
      </c>
      <c r="C35" s="608"/>
      <c r="D35" s="608"/>
      <c r="E35" s="474"/>
      <c r="F35" s="193">
        <v>27764</v>
      </c>
      <c r="G35" s="185"/>
      <c r="H35" s="475"/>
      <c r="I35" s="229"/>
      <c r="J35" s="234" t="s">
        <v>275</v>
      </c>
      <c r="K35" s="228"/>
      <c r="L35" s="193">
        <v>27796</v>
      </c>
      <c r="M35" s="196"/>
      <c r="N35" s="392" t="s">
        <v>929</v>
      </c>
      <c r="O35" s="187"/>
      <c r="P35" s="231"/>
      <c r="Q35" s="466"/>
      <c r="R35" s="398" t="s">
        <v>762</v>
      </c>
      <c r="S35" s="398"/>
      <c r="T35" s="396"/>
      <c r="U35" s="396"/>
      <c r="V35" s="396"/>
      <c r="W35" s="396"/>
      <c r="X35" s="396"/>
      <c r="Y35" s="396"/>
      <c r="Z35" s="396"/>
      <c r="AA35" s="396"/>
      <c r="AB35" s="396"/>
    </row>
    <row r="36" spans="1:28" s="76" customFormat="1" ht="12.9" customHeight="1" thickBot="1">
      <c r="A36" s="235" t="s">
        <v>271</v>
      </c>
      <c r="B36" s="607" t="str">
        <f>IF(計算シート!C69=0,"","申込者本人に")&amp;"配偶者はいますか"</f>
        <v>配偶者はいますか</v>
      </c>
      <c r="C36" s="608"/>
      <c r="D36" s="608"/>
      <c r="E36" s="474"/>
      <c r="F36" s="199" t="s">
        <v>40</v>
      </c>
      <c r="G36" s="185"/>
      <c r="H36" s="237"/>
      <c r="I36" s="229"/>
      <c r="J36" s="236"/>
      <c r="K36" s="228"/>
      <c r="L36" s="237"/>
      <c r="M36" s="196"/>
      <c r="N36" s="392" t="s">
        <v>930</v>
      </c>
      <c r="O36" s="187"/>
      <c r="P36" s="231"/>
      <c r="Q36" s="466"/>
      <c r="R36" s="398" t="s">
        <v>924</v>
      </c>
      <c r="S36" s="395"/>
      <c r="T36" s="395"/>
      <c r="U36" s="395"/>
      <c r="V36" s="395"/>
      <c r="W36" s="395"/>
      <c r="X36" s="395"/>
      <c r="Y36" s="395"/>
      <c r="Z36" s="395"/>
      <c r="AA36" s="395"/>
      <c r="AB36" s="395"/>
    </row>
    <row r="37" spans="1:28" s="76" customFormat="1" ht="12.9" hidden="1" customHeight="1" thickBot="1">
      <c r="A37" s="235" t="s">
        <v>272</v>
      </c>
      <c r="B37" s="607" t="str">
        <f>IF(計算シート!C69=0,"　配偶者は生計維持者２ですか","")</f>
        <v>　配偶者は生計維持者２ですか</v>
      </c>
      <c r="C37" s="608"/>
      <c r="D37" s="608"/>
      <c r="E37" s="474"/>
      <c r="F37" s="199" t="str">
        <f>IF(AND(I15&lt;&gt;"その他",F36="はい"),"はい","いいえ")</f>
        <v>はい</v>
      </c>
      <c r="G37" s="185"/>
      <c r="H37" s="237"/>
      <c r="I37" s="229"/>
      <c r="J37" s="236"/>
      <c r="K37" s="228"/>
      <c r="L37" s="237"/>
      <c r="M37" s="196"/>
      <c r="N37" s="393"/>
      <c r="O37" s="187"/>
      <c r="P37" s="231"/>
      <c r="Q37" s="466"/>
      <c r="R37" s="395"/>
      <c r="S37" s="395"/>
      <c r="T37" s="395"/>
      <c r="U37" s="395"/>
      <c r="V37" s="395"/>
      <c r="W37" s="395"/>
      <c r="X37" s="395"/>
      <c r="Y37" s="395"/>
      <c r="Z37" s="395"/>
      <c r="AA37" s="395"/>
      <c r="AB37" s="395"/>
    </row>
    <row r="38" spans="1:28" s="76" customFormat="1" ht="12.9" customHeight="1" thickBot="1">
      <c r="A38" s="235" t="s">
        <v>272</v>
      </c>
      <c r="B38" s="607" t="str">
        <f>IF(AND(OR(I15&lt;&gt;"その他",I15&lt;&gt;"祖父",I15&lt;&gt;"祖母"),F36="はい"),"　生計維持者２","　配偶者")&amp;"と同居していますか"</f>
        <v>　生計維持者２と同居していますか</v>
      </c>
      <c r="C38" s="608"/>
      <c r="D38" s="616"/>
      <c r="E38" s="238"/>
      <c r="F38" s="199" t="s">
        <v>40</v>
      </c>
      <c r="G38" s="185"/>
      <c r="H38" s="237"/>
      <c r="I38" s="229"/>
      <c r="J38" s="236"/>
      <c r="K38" s="228"/>
      <c r="L38" s="185"/>
      <c r="M38" s="196"/>
      <c r="N38" s="392" t="s">
        <v>931</v>
      </c>
      <c r="O38" s="187"/>
      <c r="P38" s="231"/>
      <c r="Q38" s="466"/>
      <c r="R38" s="398" t="s">
        <v>908</v>
      </c>
      <c r="S38" s="395"/>
      <c r="T38" s="395"/>
      <c r="U38" s="395"/>
      <c r="V38" s="395"/>
      <c r="W38" s="395"/>
      <c r="X38" s="395"/>
      <c r="Y38" s="395"/>
      <c r="Z38" s="395"/>
      <c r="AA38" s="395"/>
      <c r="AB38" s="395"/>
    </row>
    <row r="39" spans="1:28" s="76" customFormat="1" ht="12.9" customHeight="1" thickBot="1">
      <c r="A39" s="235" t="s">
        <v>273</v>
      </c>
      <c r="B39" s="617" t="str">
        <f>"障がい者に該当していますか"</f>
        <v>障がい者に該当していますか</v>
      </c>
      <c r="C39" s="618"/>
      <c r="D39" s="618"/>
      <c r="E39" s="476"/>
      <c r="F39" s="201" t="s">
        <v>44</v>
      </c>
      <c r="G39" s="185"/>
      <c r="H39" s="477"/>
      <c r="I39" s="229"/>
      <c r="J39" s="240" t="s">
        <v>276</v>
      </c>
      <c r="K39" s="478"/>
      <c r="L39" s="201" t="s">
        <v>44</v>
      </c>
      <c r="M39" s="196"/>
      <c r="N39" s="392" t="s">
        <v>932</v>
      </c>
      <c r="O39" s="187"/>
      <c r="P39" s="231"/>
      <c r="Q39" s="466"/>
      <c r="R39" s="403"/>
      <c r="S39" s="398"/>
      <c r="T39" s="398"/>
      <c r="U39" s="398"/>
      <c r="V39" s="398"/>
      <c r="W39" s="398"/>
      <c r="X39" s="398"/>
      <c r="Y39" s="398"/>
      <c r="Z39" s="398"/>
      <c r="AA39" s="398"/>
      <c r="AB39" s="398"/>
    </row>
    <row r="40" spans="1:28" s="76" customFormat="1" ht="12.9" customHeight="1" thickBot="1">
      <c r="A40" s="241" t="s">
        <v>274</v>
      </c>
      <c r="B40" s="609" t="str">
        <f>IF(計算シート!C69=0,"","申込者本人は")&amp;"ひとり親ですか"</f>
        <v>ひとり親ですか</v>
      </c>
      <c r="C40" s="610"/>
      <c r="D40" s="610"/>
      <c r="E40" s="242"/>
      <c r="F40" s="239" t="s">
        <v>758</v>
      </c>
      <c r="G40" s="479"/>
      <c r="H40" s="480"/>
      <c r="I40" s="481"/>
      <c r="J40" s="482"/>
      <c r="K40" s="244"/>
      <c r="L40" s="245"/>
      <c r="M40" s="219"/>
      <c r="N40" s="392"/>
      <c r="O40" s="187"/>
      <c r="P40" s="231"/>
      <c r="Q40" s="466"/>
      <c r="R40" s="606" t="s">
        <v>940</v>
      </c>
      <c r="S40" s="605"/>
      <c r="T40" s="605"/>
      <c r="U40" s="605"/>
      <c r="V40" s="605"/>
      <c r="W40" s="605"/>
      <c r="X40" s="605"/>
      <c r="Y40" s="605"/>
      <c r="Z40" s="605"/>
      <c r="AA40" s="605"/>
      <c r="AB40" s="605"/>
    </row>
    <row r="41" spans="1:28" s="123" customFormat="1" ht="3" customHeight="1" thickTop="1" thickBot="1">
      <c r="A41" s="246"/>
      <c r="B41" s="247"/>
      <c r="C41" s="247"/>
      <c r="D41" s="247"/>
      <c r="E41" s="248"/>
      <c r="F41" s="247"/>
      <c r="G41" s="247"/>
      <c r="H41" s="247"/>
      <c r="I41" s="249"/>
      <c r="J41" s="483"/>
      <c r="K41" s="248"/>
      <c r="L41" s="250"/>
      <c r="M41" s="247"/>
      <c r="N41" s="253"/>
      <c r="O41" s="253"/>
      <c r="P41" s="251"/>
      <c r="Q41" s="484"/>
      <c r="R41" s="606"/>
      <c r="S41" s="605"/>
      <c r="T41" s="605"/>
      <c r="U41" s="605"/>
      <c r="V41" s="605"/>
      <c r="W41" s="605"/>
      <c r="X41" s="605"/>
      <c r="Y41" s="605"/>
      <c r="Z41" s="605"/>
      <c r="AA41" s="605"/>
      <c r="AB41" s="605"/>
    </row>
    <row r="42" spans="1:28" s="76" customFormat="1" ht="15.6" customHeight="1" thickTop="1" thickBot="1">
      <c r="A42" s="188" t="str">
        <f>IF(計算シート!C69=0,"生計維持者の","")&amp;"収入・所得の情報"</f>
        <v>生計維持者の収入・所得の情報</v>
      </c>
      <c r="B42" s="472"/>
      <c r="C42" s="472"/>
      <c r="D42" s="472"/>
      <c r="E42" s="473"/>
      <c r="F42" s="185"/>
      <c r="G42" s="185"/>
      <c r="H42" s="185"/>
      <c r="I42" s="229"/>
      <c r="J42" s="485"/>
      <c r="K42" s="228"/>
      <c r="L42" s="230" t="str">
        <f>IF(L33="生計維持者１の配偶者","(配偶者の収入・所得の情報）","")</f>
        <v/>
      </c>
      <c r="M42" s="186"/>
      <c r="N42" s="392" t="s">
        <v>933</v>
      </c>
      <c r="O42" s="187"/>
      <c r="P42" s="231"/>
      <c r="Q42" s="466"/>
      <c r="R42" s="606"/>
      <c r="S42" s="605"/>
      <c r="T42" s="605"/>
      <c r="U42" s="605"/>
      <c r="V42" s="605"/>
      <c r="W42" s="605"/>
      <c r="X42" s="605"/>
      <c r="Y42" s="605"/>
      <c r="Z42" s="605"/>
      <c r="AA42" s="605"/>
      <c r="AB42" s="605"/>
    </row>
    <row r="43" spans="1:28" s="76" customFormat="1" ht="12.9" customHeight="1" thickBot="1">
      <c r="A43" s="232" t="s">
        <v>277</v>
      </c>
      <c r="B43" s="619" t="s">
        <v>217</v>
      </c>
      <c r="C43" s="620"/>
      <c r="D43" s="621"/>
      <c r="E43" s="233"/>
      <c r="F43" s="203" t="s">
        <v>662</v>
      </c>
      <c r="G43" s="185"/>
      <c r="H43" s="486"/>
      <c r="I43" s="229"/>
      <c r="J43" s="234" t="s">
        <v>283</v>
      </c>
      <c r="K43" s="228"/>
      <c r="L43" s="203" t="s">
        <v>49</v>
      </c>
      <c r="M43" s="196"/>
      <c r="N43" s="392" t="s">
        <v>934</v>
      </c>
      <c r="O43" s="187"/>
      <c r="P43" s="231"/>
      <c r="Q43" s="466"/>
      <c r="R43" s="606"/>
      <c r="S43" s="605"/>
      <c r="T43" s="605"/>
      <c r="U43" s="605"/>
      <c r="V43" s="605"/>
      <c r="W43" s="605"/>
      <c r="X43" s="605"/>
      <c r="Y43" s="605"/>
      <c r="Z43" s="605"/>
      <c r="AA43" s="605"/>
      <c r="AB43" s="605"/>
    </row>
    <row r="44" spans="1:28" s="76" customFormat="1" ht="12.9" customHeight="1" thickBot="1">
      <c r="A44" s="235" t="s">
        <v>278</v>
      </c>
      <c r="B44" s="622" t="s">
        <v>219</v>
      </c>
      <c r="C44" s="623"/>
      <c r="D44" s="623"/>
      <c r="E44" s="474"/>
      <c r="F44" s="469">
        <v>59428</v>
      </c>
      <c r="G44" s="187" t="str">
        <f>MID(F43,SEARCH("(",F43)+1,3)</f>
        <v>USD</v>
      </c>
      <c r="H44" s="487"/>
      <c r="I44" s="229"/>
      <c r="J44" s="240" t="s">
        <v>284</v>
      </c>
      <c r="K44" s="228"/>
      <c r="L44" s="469">
        <v>1230000</v>
      </c>
      <c r="M44" s="194" t="str">
        <f>MID(L43,SEARCH("(",L43)+1,3)</f>
        <v>JPY</v>
      </c>
      <c r="N44" s="405" t="s">
        <v>935</v>
      </c>
      <c r="O44" s="187"/>
      <c r="P44" s="231"/>
      <c r="Q44" s="466"/>
      <c r="R44" s="606"/>
      <c r="S44" s="605"/>
      <c r="T44" s="605"/>
      <c r="U44" s="605"/>
      <c r="V44" s="605"/>
      <c r="W44" s="605"/>
      <c r="X44" s="605"/>
      <c r="Y44" s="605"/>
      <c r="Z44" s="605"/>
      <c r="AA44" s="605"/>
      <c r="AB44" s="605"/>
    </row>
    <row r="45" spans="1:28" s="76" customFormat="1" ht="12.9" customHeight="1" thickBot="1">
      <c r="A45" s="235" t="s">
        <v>279</v>
      </c>
      <c r="B45" s="622" t="s">
        <v>218</v>
      </c>
      <c r="C45" s="623"/>
      <c r="D45" s="623"/>
      <c r="E45" s="474"/>
      <c r="F45" s="203" t="s">
        <v>662</v>
      </c>
      <c r="G45" s="185"/>
      <c r="H45" s="486"/>
      <c r="I45" s="229"/>
      <c r="J45" s="240" t="s">
        <v>285</v>
      </c>
      <c r="K45" s="228"/>
      <c r="L45" s="203" t="s">
        <v>49</v>
      </c>
      <c r="M45" s="196"/>
      <c r="N45" s="405" t="s">
        <v>936</v>
      </c>
      <c r="O45" s="187"/>
      <c r="P45" s="231"/>
      <c r="Q45" s="466"/>
      <c r="R45" s="606"/>
      <c r="S45" s="605"/>
      <c r="T45" s="605"/>
      <c r="U45" s="605"/>
      <c r="V45" s="605"/>
      <c r="W45" s="605"/>
      <c r="X45" s="605"/>
      <c r="Y45" s="605"/>
      <c r="Z45" s="605"/>
      <c r="AA45" s="605"/>
      <c r="AB45" s="605"/>
    </row>
    <row r="46" spans="1:28" s="76" customFormat="1" ht="12.9" customHeight="1" thickBot="1">
      <c r="A46" s="235" t="s">
        <v>280</v>
      </c>
      <c r="B46" s="612" t="s">
        <v>220</v>
      </c>
      <c r="C46" s="613"/>
      <c r="D46" s="613"/>
      <c r="E46" s="233"/>
      <c r="F46" s="469">
        <v>0</v>
      </c>
      <c r="G46" s="187" t="str">
        <f>MID(F45,SEARCH("(",F45)+1,3)</f>
        <v>USD</v>
      </c>
      <c r="H46" s="487"/>
      <c r="I46" s="229"/>
      <c r="J46" s="240" t="s">
        <v>286</v>
      </c>
      <c r="K46" s="228"/>
      <c r="L46" s="469">
        <v>0</v>
      </c>
      <c r="M46" s="254" t="str">
        <f>MID(L45,SEARCH("(",L45)+1,3)</f>
        <v>JPY</v>
      </c>
      <c r="N46" s="488" t="s">
        <v>937</v>
      </c>
      <c r="O46" s="187"/>
      <c r="P46" s="231"/>
      <c r="Q46" s="466"/>
      <c r="R46" s="606"/>
      <c r="S46" s="605"/>
      <c r="T46" s="605"/>
      <c r="U46" s="605"/>
      <c r="V46" s="605"/>
      <c r="W46" s="605"/>
      <c r="X46" s="605"/>
      <c r="Y46" s="605"/>
      <c r="Z46" s="605"/>
      <c r="AA46" s="605"/>
      <c r="AB46" s="605"/>
    </row>
    <row r="47" spans="1:28" s="76" customFormat="1" ht="12.9" customHeight="1" thickBot="1">
      <c r="A47" s="235" t="s">
        <v>281</v>
      </c>
      <c r="B47" s="192" t="s">
        <v>248</v>
      </c>
      <c r="C47" s="300"/>
      <c r="D47" s="300"/>
      <c r="E47" s="489"/>
      <c r="F47" s="203" t="s">
        <v>662</v>
      </c>
      <c r="G47" s="185"/>
      <c r="H47" s="486"/>
      <c r="I47" s="229"/>
      <c r="J47" s="240" t="s">
        <v>287</v>
      </c>
      <c r="K47" s="228"/>
      <c r="L47" s="203" t="s">
        <v>49</v>
      </c>
      <c r="M47" s="255"/>
      <c r="N47" s="488" t="s">
        <v>938</v>
      </c>
      <c r="O47" s="187"/>
      <c r="P47" s="231"/>
      <c r="Q47" s="466"/>
      <c r="R47" s="606"/>
      <c r="S47" s="605"/>
      <c r="T47" s="605"/>
      <c r="U47" s="605"/>
      <c r="V47" s="605"/>
      <c r="W47" s="605"/>
      <c r="X47" s="605"/>
      <c r="Y47" s="605"/>
      <c r="Z47" s="605"/>
      <c r="AA47" s="605"/>
      <c r="AB47" s="605"/>
    </row>
    <row r="48" spans="1:28" s="76" customFormat="1" ht="12.9" customHeight="1" thickBot="1">
      <c r="A48" s="241" t="s">
        <v>282</v>
      </c>
      <c r="B48" s="490" t="s">
        <v>249</v>
      </c>
      <c r="C48" s="491"/>
      <c r="D48" s="492"/>
      <c r="E48" s="493"/>
      <c r="F48" s="469">
        <v>0</v>
      </c>
      <c r="G48" s="494" t="str">
        <f>MID(F47,SEARCH("(",F47)+1,3)</f>
        <v>USD</v>
      </c>
      <c r="H48" s="495"/>
      <c r="I48" s="481"/>
      <c r="J48" s="258" t="s">
        <v>288</v>
      </c>
      <c r="K48" s="259"/>
      <c r="L48" s="469">
        <v>0</v>
      </c>
      <c r="M48" s="216" t="str">
        <f>MID(L47,SEARCH("(",L47)+1,3)</f>
        <v>JPY</v>
      </c>
      <c r="N48" s="488" t="s">
        <v>939</v>
      </c>
      <c r="O48" s="187"/>
      <c r="P48" s="231"/>
      <c r="Q48" s="466"/>
      <c r="R48" s="606" t="s">
        <v>1080</v>
      </c>
      <c r="S48" s="605"/>
      <c r="T48" s="605"/>
      <c r="U48" s="605"/>
      <c r="V48" s="605"/>
      <c r="W48" s="605"/>
      <c r="X48" s="605"/>
      <c r="Y48" s="605"/>
      <c r="Z48" s="605"/>
      <c r="AA48" s="605"/>
      <c r="AB48" s="605"/>
    </row>
    <row r="49" spans="1:28" s="76" customFormat="1" ht="3" customHeight="1" thickTop="1" thickBot="1">
      <c r="A49" s="496"/>
      <c r="B49" s="221"/>
      <c r="C49" s="221"/>
      <c r="D49" s="221"/>
      <c r="E49" s="260"/>
      <c r="F49" s="221"/>
      <c r="G49" s="261"/>
      <c r="H49" s="221"/>
      <c r="I49" s="261"/>
      <c r="J49" s="496"/>
      <c r="K49" s="260"/>
      <c r="L49" s="221"/>
      <c r="M49" s="221"/>
      <c r="N49" s="221"/>
      <c r="O49" s="221"/>
      <c r="P49" s="231"/>
      <c r="Q49" s="466"/>
      <c r="R49" s="606"/>
      <c r="S49" s="605"/>
      <c r="T49" s="605"/>
      <c r="U49" s="605"/>
      <c r="V49" s="605"/>
      <c r="W49" s="605"/>
      <c r="X49" s="605"/>
      <c r="Y49" s="605"/>
      <c r="Z49" s="605"/>
      <c r="AA49" s="605"/>
      <c r="AB49" s="605"/>
    </row>
    <row r="50" spans="1:28" s="76" customFormat="1" ht="15.6" customHeight="1" thickTop="1" thickBot="1">
      <c r="A50" s="497" t="str">
        <f>IF(計算シート!C69=0,"生計維持者の","")&amp;"扶養の情報（本人や他の生計維持者、配偶者は含めないでください）"</f>
        <v>生計維持者の扶養の情報（本人や他の生計維持者、配偶者は含めないでください）</v>
      </c>
      <c r="B50" s="498"/>
      <c r="C50" s="498"/>
      <c r="D50" s="498"/>
      <c r="E50" s="498"/>
      <c r="F50" s="499"/>
      <c r="G50" s="229"/>
      <c r="H50" s="500"/>
      <c r="I50" s="229"/>
      <c r="J50" s="485"/>
      <c r="K50" s="228"/>
      <c r="L50" s="230" t="str">
        <f>IF(L33="生計維持者１の配偶者","(配偶者の扶養の情報）","")</f>
        <v/>
      </c>
      <c r="M50" s="189"/>
      <c r="N50" s="230"/>
      <c r="O50" s="186"/>
      <c r="P50" s="231"/>
      <c r="Q50" s="466"/>
      <c r="R50" s="606"/>
      <c r="S50" s="605"/>
      <c r="T50" s="605"/>
      <c r="U50" s="605"/>
      <c r="V50" s="605"/>
      <c r="W50" s="605"/>
      <c r="X50" s="605"/>
      <c r="Y50" s="605"/>
      <c r="Z50" s="605"/>
      <c r="AA50" s="605"/>
      <c r="AB50" s="605"/>
    </row>
    <row r="51" spans="1:28" s="76" customFormat="1" ht="12.9" customHeight="1" thickBot="1">
      <c r="A51" s="235" t="s">
        <v>289</v>
      </c>
      <c r="B51" s="607" t="s">
        <v>0</v>
      </c>
      <c r="C51" s="608"/>
      <c r="D51" s="608"/>
      <c r="E51" s="474"/>
      <c r="F51" s="199">
        <v>0</v>
      </c>
      <c r="G51" s="501" t="s">
        <v>48</v>
      </c>
      <c r="H51" s="502"/>
      <c r="I51" s="229"/>
      <c r="J51" s="240" t="s">
        <v>949</v>
      </c>
      <c r="K51" s="228"/>
      <c r="L51" s="199">
        <v>0</v>
      </c>
      <c r="M51" s="501" t="s">
        <v>48</v>
      </c>
      <c r="N51" s="502"/>
      <c r="O51" s="196"/>
      <c r="P51" s="231"/>
      <c r="Q51" s="466"/>
      <c r="R51" s="606"/>
      <c r="S51" s="605"/>
      <c r="T51" s="605"/>
      <c r="U51" s="605"/>
      <c r="V51" s="605"/>
      <c r="W51" s="605"/>
      <c r="X51" s="605"/>
      <c r="Y51" s="605"/>
      <c r="Z51" s="605"/>
      <c r="AA51" s="605"/>
      <c r="AB51" s="605"/>
    </row>
    <row r="52" spans="1:28" s="76" customFormat="1" ht="12.9" customHeight="1" thickBot="1">
      <c r="A52" s="235" t="s">
        <v>290</v>
      </c>
      <c r="B52" s="607" t="s">
        <v>1</v>
      </c>
      <c r="C52" s="608"/>
      <c r="D52" s="608"/>
      <c r="E52" s="474"/>
      <c r="F52" s="199">
        <v>0</v>
      </c>
      <c r="G52" s="503" t="s">
        <v>48</v>
      </c>
      <c r="H52" s="504" t="str">
        <f>"うち"&amp;IF(計算シート!C69=0,"生計維","申込者")</f>
        <v>うち生計維</v>
      </c>
      <c r="I52" s="229"/>
      <c r="J52" s="240" t="s">
        <v>950</v>
      </c>
      <c r="K52" s="228"/>
      <c r="L52" s="199">
        <v>0</v>
      </c>
      <c r="M52" s="503" t="s">
        <v>48</v>
      </c>
      <c r="N52" s="406" t="str">
        <f>"うち★の"</f>
        <v>うち★の</v>
      </c>
      <c r="O52" s="196"/>
      <c r="P52" s="231"/>
      <c r="Q52" s="466"/>
      <c r="R52" s="606"/>
      <c r="S52" s="605"/>
      <c r="T52" s="605"/>
      <c r="U52" s="605"/>
      <c r="V52" s="605"/>
      <c r="W52" s="605"/>
      <c r="X52" s="605"/>
      <c r="Y52" s="605"/>
      <c r="Z52" s="605"/>
      <c r="AA52" s="605"/>
      <c r="AB52" s="605"/>
    </row>
    <row r="53" spans="1:28" s="76" customFormat="1" ht="12.9" customHeight="1" thickBot="1">
      <c r="A53" s="235" t="s">
        <v>291</v>
      </c>
      <c r="B53" s="607" t="s">
        <v>2</v>
      </c>
      <c r="C53" s="608"/>
      <c r="D53" s="608"/>
      <c r="E53" s="474"/>
      <c r="F53" s="199">
        <v>0</v>
      </c>
      <c r="G53" s="503" t="s">
        <v>48</v>
      </c>
      <c r="H53" s="505" t="str">
        <f>IF(計算シート!C69=0,"持者１より","本人より")</f>
        <v>持者１より</v>
      </c>
      <c r="I53" s="229"/>
      <c r="J53" s="240" t="s">
        <v>951</v>
      </c>
      <c r="K53" s="228"/>
      <c r="L53" s="199">
        <v>0</v>
      </c>
      <c r="M53" s="503" t="s">
        <v>48</v>
      </c>
      <c r="N53" s="506" t="str">
        <f>"者より"</f>
        <v>者より</v>
      </c>
      <c r="O53" s="196"/>
      <c r="P53" s="231"/>
      <c r="Q53" s="187"/>
      <c r="R53" s="606" t="s">
        <v>1096</v>
      </c>
      <c r="S53" s="605"/>
      <c r="T53" s="605"/>
      <c r="U53" s="605"/>
      <c r="V53" s="605"/>
      <c r="W53" s="605"/>
      <c r="X53" s="605"/>
      <c r="Y53" s="605"/>
      <c r="Z53" s="605"/>
      <c r="AA53" s="605"/>
      <c r="AB53" s="605"/>
    </row>
    <row r="54" spans="1:28" s="76" customFormat="1" ht="12.9" customHeight="1" thickBot="1">
      <c r="A54" s="235" t="s">
        <v>942</v>
      </c>
      <c r="B54" s="624" t="s">
        <v>941</v>
      </c>
      <c r="C54" s="625"/>
      <c r="D54" s="626"/>
      <c r="E54" s="438"/>
      <c r="F54" s="507">
        <v>1</v>
      </c>
      <c r="G54" s="503" t="s">
        <v>48</v>
      </c>
      <c r="H54" s="505" t="s">
        <v>766</v>
      </c>
      <c r="I54" s="229"/>
      <c r="J54" s="240" t="s">
        <v>952</v>
      </c>
      <c r="K54" s="228"/>
      <c r="L54" s="199">
        <v>0</v>
      </c>
      <c r="M54" s="503" t="s">
        <v>48</v>
      </c>
      <c r="N54" s="508" t="s">
        <v>766</v>
      </c>
      <c r="O54" s="196"/>
      <c r="P54" s="231"/>
      <c r="Q54" s="187"/>
      <c r="R54" s="606"/>
      <c r="S54" s="605"/>
      <c r="T54" s="605"/>
      <c r="U54" s="605"/>
      <c r="V54" s="605"/>
      <c r="W54" s="605"/>
      <c r="X54" s="605"/>
      <c r="Y54" s="605"/>
      <c r="Z54" s="605"/>
      <c r="AA54" s="605"/>
      <c r="AB54" s="605"/>
    </row>
    <row r="55" spans="1:28" s="76" customFormat="1" ht="12.9" customHeight="1" thickBot="1">
      <c r="A55" s="235" t="s">
        <v>943</v>
      </c>
      <c r="B55" s="607" t="s">
        <v>3</v>
      </c>
      <c r="C55" s="608"/>
      <c r="D55" s="616"/>
      <c r="E55" s="474"/>
      <c r="F55" s="199">
        <v>3</v>
      </c>
      <c r="G55" s="501" t="s">
        <v>48</v>
      </c>
      <c r="H55" s="199">
        <v>2</v>
      </c>
      <c r="I55" s="509" t="s">
        <v>48</v>
      </c>
      <c r="J55" s="240" t="s">
        <v>953</v>
      </c>
      <c r="K55" s="228"/>
      <c r="L55" s="199">
        <v>0</v>
      </c>
      <c r="M55" s="501" t="s">
        <v>48</v>
      </c>
      <c r="N55" s="199">
        <v>0</v>
      </c>
      <c r="O55" s="254" t="s">
        <v>48</v>
      </c>
      <c r="P55" s="231"/>
      <c r="Q55" s="187"/>
      <c r="R55" s="606"/>
      <c r="S55" s="605"/>
      <c r="T55" s="605"/>
      <c r="U55" s="605"/>
      <c r="V55" s="605"/>
      <c r="W55" s="605"/>
      <c r="X55" s="605"/>
      <c r="Y55" s="605"/>
      <c r="Z55" s="605"/>
      <c r="AA55" s="605"/>
      <c r="AB55" s="605"/>
    </row>
    <row r="56" spans="1:28" s="76" customFormat="1" ht="12.9" customHeight="1" thickBot="1">
      <c r="A56" s="235" t="s">
        <v>944</v>
      </c>
      <c r="B56" s="607" t="s">
        <v>4</v>
      </c>
      <c r="C56" s="608"/>
      <c r="D56" s="608"/>
      <c r="E56" s="474"/>
      <c r="F56" s="199">
        <v>0</v>
      </c>
      <c r="G56" s="501" t="s">
        <v>48</v>
      </c>
      <c r="H56" s="394" t="s">
        <v>900</v>
      </c>
      <c r="I56" s="229"/>
      <c r="J56" s="240" t="s">
        <v>954</v>
      </c>
      <c r="K56" s="228"/>
      <c r="L56" s="199">
        <v>0</v>
      </c>
      <c r="M56" s="501" t="s">
        <v>48</v>
      </c>
      <c r="N56" s="394" t="str">
        <f>IF(F36="はい","(項番43の内数)","")</f>
        <v>(項番43の内数)</v>
      </c>
      <c r="O56" s="196"/>
      <c r="P56" s="231"/>
      <c r="Q56" s="187"/>
      <c r="R56" s="606"/>
      <c r="S56" s="605"/>
      <c r="T56" s="605"/>
      <c r="U56" s="605"/>
      <c r="V56" s="605"/>
      <c r="W56" s="605"/>
      <c r="X56" s="605"/>
      <c r="Y56" s="605"/>
      <c r="Z56" s="605"/>
      <c r="AA56" s="605"/>
      <c r="AB56" s="605"/>
    </row>
    <row r="57" spans="1:28" s="76" customFormat="1" ht="12.9" customHeight="1" thickBot="1">
      <c r="A57" s="235" t="s">
        <v>945</v>
      </c>
      <c r="B57" s="607" t="s">
        <v>5</v>
      </c>
      <c r="C57" s="608"/>
      <c r="D57" s="608"/>
      <c r="E57" s="474"/>
      <c r="F57" s="199">
        <v>0</v>
      </c>
      <c r="G57" s="501" t="s">
        <v>48</v>
      </c>
      <c r="H57" s="237"/>
      <c r="I57" s="229"/>
      <c r="J57" s="240" t="s">
        <v>955</v>
      </c>
      <c r="K57" s="228"/>
      <c r="L57" s="199">
        <v>0</v>
      </c>
      <c r="M57" s="187" t="s">
        <v>48</v>
      </c>
      <c r="N57" s="237"/>
      <c r="O57" s="196"/>
      <c r="P57" s="231"/>
      <c r="Q57" s="187"/>
      <c r="R57" s="606"/>
      <c r="S57" s="605"/>
      <c r="T57" s="605"/>
      <c r="U57" s="605"/>
      <c r="V57" s="605"/>
      <c r="W57" s="605"/>
      <c r="X57" s="605"/>
      <c r="Y57" s="605"/>
      <c r="Z57" s="605"/>
      <c r="AA57" s="605"/>
      <c r="AB57" s="605"/>
    </row>
    <row r="58" spans="1:28" s="76" customFormat="1" ht="12.9" customHeight="1" thickBot="1">
      <c r="A58" s="235" t="s">
        <v>946</v>
      </c>
      <c r="B58" s="607" t="s">
        <v>244</v>
      </c>
      <c r="C58" s="608"/>
      <c r="D58" s="608"/>
      <c r="E58" s="474"/>
      <c r="F58" s="199">
        <v>0</v>
      </c>
      <c r="G58" s="501" t="s">
        <v>48</v>
      </c>
      <c r="H58" s="237"/>
      <c r="I58" s="229"/>
      <c r="J58" s="240" t="s">
        <v>956</v>
      </c>
      <c r="K58" s="228"/>
      <c r="L58" s="199">
        <v>0</v>
      </c>
      <c r="M58" s="187" t="s">
        <v>48</v>
      </c>
      <c r="N58" s="237"/>
      <c r="O58" s="196"/>
      <c r="P58" s="231"/>
      <c r="Q58" s="187"/>
      <c r="R58" s="606"/>
      <c r="S58" s="605"/>
      <c r="T58" s="605"/>
      <c r="U58" s="605"/>
      <c r="V58" s="605"/>
      <c r="W58" s="605"/>
      <c r="X58" s="605"/>
      <c r="Y58" s="605"/>
      <c r="Z58" s="605"/>
      <c r="AA58" s="605"/>
      <c r="AB58" s="605"/>
    </row>
    <row r="59" spans="1:28" s="76" customFormat="1" ht="12.9" customHeight="1" thickBot="1">
      <c r="A59" s="235" t="s">
        <v>947</v>
      </c>
      <c r="B59" s="607" t="s">
        <v>245</v>
      </c>
      <c r="C59" s="608"/>
      <c r="D59" s="608"/>
      <c r="E59" s="510"/>
      <c r="F59" s="199">
        <v>0</v>
      </c>
      <c r="G59" s="501" t="s">
        <v>48</v>
      </c>
      <c r="H59" s="237"/>
      <c r="I59" s="229"/>
      <c r="J59" s="240" t="s">
        <v>307</v>
      </c>
      <c r="K59" s="228"/>
      <c r="L59" s="199">
        <v>0</v>
      </c>
      <c r="M59" s="187" t="s">
        <v>48</v>
      </c>
      <c r="N59" s="237"/>
      <c r="O59" s="196"/>
      <c r="P59" s="231"/>
      <c r="Q59" s="466"/>
      <c r="R59" s="605" t="s">
        <v>1089</v>
      </c>
      <c r="S59" s="605"/>
      <c r="T59" s="605"/>
      <c r="U59" s="605"/>
      <c r="V59" s="605"/>
      <c r="W59" s="605"/>
      <c r="X59" s="605"/>
      <c r="Y59" s="605"/>
      <c r="Z59" s="605"/>
      <c r="AA59" s="605"/>
      <c r="AB59" s="605"/>
    </row>
    <row r="60" spans="1:28" s="76" customFormat="1" ht="12.9" customHeight="1" thickBot="1">
      <c r="A60" s="241" t="s">
        <v>948</v>
      </c>
      <c r="B60" s="609" t="s">
        <v>246</v>
      </c>
      <c r="C60" s="610"/>
      <c r="D60" s="610"/>
      <c r="E60" s="242"/>
      <c r="F60" s="199">
        <v>0</v>
      </c>
      <c r="G60" s="494" t="s">
        <v>48</v>
      </c>
      <c r="H60" s="511"/>
      <c r="I60" s="481"/>
      <c r="J60" s="266" t="s">
        <v>957</v>
      </c>
      <c r="K60" s="259"/>
      <c r="L60" s="199">
        <v>0</v>
      </c>
      <c r="M60" s="494" t="s">
        <v>48</v>
      </c>
      <c r="N60" s="511"/>
      <c r="O60" s="219"/>
      <c r="P60" s="231"/>
      <c r="Q60" s="466"/>
      <c r="R60" s="605"/>
      <c r="S60" s="605"/>
      <c r="T60" s="605"/>
      <c r="U60" s="605"/>
      <c r="V60" s="605"/>
      <c r="W60" s="605"/>
      <c r="X60" s="605"/>
      <c r="Y60" s="605"/>
      <c r="Z60" s="605"/>
      <c r="AA60" s="605"/>
      <c r="AB60" s="605"/>
    </row>
    <row r="61" spans="1:28" ht="3" customHeight="1" thickTop="1">
      <c r="A61" s="166"/>
      <c r="B61" s="166"/>
      <c r="C61" s="166"/>
      <c r="D61" s="166"/>
      <c r="E61" s="267"/>
      <c r="F61" s="268"/>
      <c r="G61" s="269"/>
      <c r="H61" s="268"/>
      <c r="I61" s="269"/>
      <c r="J61" s="166"/>
      <c r="K61" s="267"/>
      <c r="L61" s="270"/>
      <c r="M61" s="270"/>
      <c r="N61" s="270"/>
      <c r="O61" s="270"/>
      <c r="P61" s="269"/>
      <c r="Q61" s="446"/>
      <c r="R61" s="605"/>
      <c r="S61" s="605"/>
      <c r="T61" s="605"/>
      <c r="U61" s="605"/>
      <c r="V61" s="605"/>
      <c r="W61" s="605"/>
      <c r="X61" s="605"/>
      <c r="Y61" s="605"/>
      <c r="Z61" s="605"/>
      <c r="AA61" s="605"/>
      <c r="AB61" s="605"/>
    </row>
    <row r="62" spans="1:28" ht="3.75" customHeight="1">
      <c r="A62" s="166"/>
      <c r="B62" s="166"/>
      <c r="C62" s="166"/>
      <c r="D62" s="166"/>
      <c r="E62" s="166"/>
      <c r="F62" s="166"/>
      <c r="G62" s="166"/>
      <c r="H62" s="166"/>
      <c r="I62" s="166"/>
      <c r="J62" s="166"/>
      <c r="K62" s="166"/>
      <c r="L62" s="166"/>
      <c r="M62" s="166"/>
      <c r="N62" s="166"/>
      <c r="O62" s="166"/>
      <c r="P62" s="166"/>
      <c r="Q62" s="446"/>
      <c r="R62" s="605"/>
      <c r="S62" s="605"/>
      <c r="T62" s="605"/>
      <c r="U62" s="605"/>
      <c r="V62" s="605"/>
      <c r="W62" s="605"/>
      <c r="X62" s="605"/>
      <c r="Y62" s="605"/>
      <c r="Z62" s="605"/>
      <c r="AA62" s="605"/>
      <c r="AB62" s="605"/>
    </row>
    <row r="63" spans="1:28">
      <c r="A63" s="166"/>
      <c r="B63" s="166" t="s">
        <v>252</v>
      </c>
      <c r="C63" s="166"/>
      <c r="D63" s="166"/>
      <c r="E63" s="166"/>
      <c r="F63" s="166"/>
      <c r="G63" s="166"/>
      <c r="H63" s="166"/>
      <c r="I63" s="166"/>
      <c r="J63" s="166"/>
      <c r="K63" s="166"/>
      <c r="L63" s="166"/>
      <c r="M63" s="166"/>
      <c r="N63" s="166"/>
      <c r="O63" s="166"/>
      <c r="P63" s="166"/>
      <c r="Q63" s="446"/>
      <c r="R63" s="396" t="s">
        <v>492</v>
      </c>
      <c r="S63" s="395"/>
      <c r="T63" s="395"/>
      <c r="U63" s="395"/>
      <c r="V63" s="395"/>
      <c r="W63" s="395"/>
      <c r="X63" s="395"/>
      <c r="Y63" s="395"/>
      <c r="Z63" s="395"/>
      <c r="AA63" s="395"/>
      <c r="AB63" s="395"/>
    </row>
    <row r="64" spans="1:28" ht="13.5" customHeight="1">
      <c r="B64" s="73" t="str">
        <f>"１　"&amp;IF(計算シート!C69=0,"全ての生計維持者","本人及び配偶者")&amp;"の情報を入力したうえで印刷し、収入等の証明書類（和訳付）を添付してください。国内外を問わず扶養親族がいる場合、"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4" s="73"/>
      <c r="D64" s="73"/>
      <c r="E64" s="73"/>
      <c r="F64" s="73"/>
      <c r="Q64" s="402"/>
      <c r="R64" s="605" t="s">
        <v>503</v>
      </c>
      <c r="S64" s="605"/>
      <c r="T64" s="605"/>
      <c r="U64" s="605"/>
      <c r="V64" s="605"/>
      <c r="W64" s="605"/>
      <c r="X64" s="605"/>
      <c r="Y64" s="605"/>
      <c r="Z64" s="605"/>
      <c r="AA64" s="605"/>
      <c r="AB64" s="605"/>
    </row>
    <row r="65" spans="1:28" ht="13.5" customHeight="1">
      <c r="B65" s="74" t="str">
        <f>"　"&amp;IF(計算シート!C69=0,"生計維持","扶養")&amp;"者との関係を明らかにする書類も必要です。国内に居住している"&amp;IF(計算シート!C69=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5" s="74"/>
      <c r="D65" s="74"/>
      <c r="E65" s="74"/>
      <c r="F65" s="74"/>
      <c r="Q65" s="402"/>
      <c r="R65" s="605"/>
      <c r="S65" s="605"/>
      <c r="T65" s="605"/>
      <c r="U65" s="605"/>
      <c r="V65" s="605"/>
      <c r="W65" s="605"/>
      <c r="X65" s="605"/>
      <c r="Y65" s="605"/>
      <c r="Z65" s="605"/>
      <c r="AA65" s="605"/>
      <c r="AB65" s="605"/>
    </row>
    <row r="66" spans="1:28">
      <c r="B66"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C66" s="74"/>
      <c r="D66" s="74"/>
      <c r="E66" s="74"/>
      <c r="F66" s="74"/>
      <c r="Q66" s="402"/>
      <c r="R66" s="605"/>
      <c r="S66" s="605"/>
      <c r="T66" s="605"/>
      <c r="U66" s="605"/>
      <c r="V66" s="605"/>
      <c r="W66" s="605"/>
      <c r="X66" s="605"/>
      <c r="Y66" s="605"/>
      <c r="Z66" s="605"/>
      <c r="AA66" s="605"/>
      <c r="AB66" s="605"/>
    </row>
    <row r="67" spans="1:28">
      <c r="B67"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C67" s="74"/>
      <c r="D67" s="74"/>
      <c r="E67" s="74"/>
      <c r="F67" s="74"/>
      <c r="Q67" s="402"/>
      <c r="R67" s="605"/>
      <c r="S67" s="605"/>
      <c r="T67" s="605"/>
      <c r="U67" s="605"/>
      <c r="V67" s="605"/>
      <c r="W67" s="605"/>
      <c r="X67" s="605"/>
      <c r="Y67" s="605"/>
      <c r="Z67" s="605"/>
      <c r="AA67" s="605"/>
      <c r="AB67" s="605"/>
    </row>
    <row r="68" spans="1:28" ht="13.5" customHeight="1">
      <c r="B68" s="74" t="s">
        <v>355</v>
      </c>
      <c r="C68" s="74"/>
      <c r="D68" s="74"/>
      <c r="E68" s="74"/>
      <c r="F68" s="74"/>
      <c r="Q68" s="402"/>
      <c r="R68" s="605" t="s">
        <v>921</v>
      </c>
      <c r="S68" s="605"/>
      <c r="T68" s="605"/>
      <c r="U68" s="605"/>
      <c r="V68" s="605"/>
      <c r="W68" s="605"/>
      <c r="X68" s="605"/>
      <c r="Y68" s="605"/>
      <c r="Z68" s="605"/>
      <c r="AA68" s="605"/>
      <c r="AB68" s="605"/>
    </row>
    <row r="69" spans="1:28" ht="10.5" customHeight="1">
      <c r="B69" s="74" t="s">
        <v>247</v>
      </c>
      <c r="C69" s="74"/>
      <c r="D69" s="74"/>
      <c r="E69" s="74"/>
      <c r="F69" s="74"/>
      <c r="Q69" s="402"/>
      <c r="R69" s="605"/>
      <c r="S69" s="605"/>
      <c r="T69" s="605"/>
      <c r="U69" s="605"/>
      <c r="V69" s="605"/>
      <c r="W69" s="605"/>
      <c r="X69" s="605"/>
      <c r="Y69" s="605"/>
      <c r="Z69" s="605"/>
      <c r="AA69" s="605"/>
      <c r="AB69" s="605"/>
    </row>
    <row r="70" spans="1:28" ht="13.5" customHeight="1">
      <c r="B70" s="274" t="str">
        <f>海外居住者のための収入等申告書!B70</f>
        <v>　また、「扶養親族」とは、生計維持者の配偶者でない６親等内の血族又は３親等内の姻族で、他者の扶養親族になっておらず、合計所得金額が</v>
      </c>
      <c r="C70" s="274"/>
      <c r="D70" s="274"/>
      <c r="E70" s="274"/>
      <c r="F70" s="274"/>
      <c r="Q70" s="402"/>
      <c r="R70" s="605"/>
      <c r="S70" s="605"/>
      <c r="T70" s="605"/>
      <c r="U70" s="605"/>
      <c r="V70" s="605"/>
      <c r="W70" s="605"/>
      <c r="X70" s="605"/>
      <c r="Y70" s="605"/>
      <c r="Z70" s="605"/>
      <c r="AA70" s="605"/>
      <c r="AB70" s="605"/>
    </row>
    <row r="71" spans="1:28" ht="13.5" customHeight="1">
      <c r="A71" s="39"/>
      <c r="B71" s="274" t="str">
        <f>海外居住者のための収入等申告書!B71</f>
        <v>　58万円以下の、生計維持者と生計を一にしている者（別住所でも可）をいいます。「特定親族」については「記入例と注意事項」を参照してください。</v>
      </c>
      <c r="C71" s="274"/>
      <c r="D71" s="274"/>
      <c r="E71" s="274"/>
      <c r="F71" s="274"/>
      <c r="G71" s="39"/>
      <c r="H71" s="39"/>
      <c r="I71" s="39"/>
      <c r="J71" s="39"/>
      <c r="K71" s="39"/>
      <c r="L71" s="39"/>
      <c r="M71" s="39"/>
      <c r="N71" s="39"/>
      <c r="O71" s="39"/>
      <c r="P71" s="39"/>
      <c r="Q71" s="546"/>
      <c r="R71" s="605"/>
      <c r="S71" s="605"/>
      <c r="T71" s="605"/>
      <c r="U71" s="605"/>
      <c r="V71" s="605"/>
      <c r="W71" s="605"/>
      <c r="X71" s="605"/>
      <c r="Y71" s="605"/>
      <c r="Z71" s="605"/>
      <c r="AA71" s="605"/>
      <c r="AB71" s="605"/>
    </row>
    <row r="72" spans="1:28" ht="13.5" customHeight="1">
      <c r="A72" s="384"/>
      <c r="B72" s="158" t="s">
        <v>356</v>
      </c>
      <c r="C72" s="158"/>
      <c r="D72" s="158"/>
      <c r="E72" s="158"/>
      <c r="F72" s="158"/>
      <c r="G72" s="384"/>
      <c r="H72" s="384"/>
      <c r="I72" s="384"/>
      <c r="J72" s="384"/>
      <c r="K72" s="384"/>
      <c r="L72" s="384"/>
      <c r="M72" s="384"/>
      <c r="N72" s="384"/>
      <c r="O72" s="384"/>
      <c r="P72" s="384"/>
      <c r="Q72" s="547"/>
      <c r="R72" s="605" t="s">
        <v>504</v>
      </c>
      <c r="S72" s="605"/>
      <c r="T72" s="605"/>
      <c r="U72" s="605"/>
      <c r="V72" s="605"/>
      <c r="W72" s="605"/>
      <c r="X72" s="605"/>
      <c r="Y72" s="605"/>
      <c r="Z72" s="605"/>
      <c r="AA72" s="605"/>
      <c r="AB72" s="605"/>
    </row>
    <row r="73" spans="1:28">
      <c r="A73" s="39"/>
      <c r="B73" s="39" t="s">
        <v>243</v>
      </c>
      <c r="C73" s="39"/>
      <c r="D73" s="39"/>
      <c r="E73" s="39"/>
      <c r="F73" s="39"/>
      <c r="G73" s="39"/>
      <c r="H73" s="39"/>
      <c r="I73" s="39"/>
      <c r="J73" s="39"/>
      <c r="K73" s="39"/>
      <c r="L73" s="39"/>
      <c r="M73" s="39"/>
      <c r="N73" s="39"/>
      <c r="O73" s="39"/>
      <c r="P73" s="39"/>
      <c r="Q73" s="546"/>
      <c r="R73" s="605"/>
      <c r="S73" s="605"/>
      <c r="T73" s="605"/>
      <c r="U73" s="605"/>
      <c r="V73" s="605"/>
      <c r="W73" s="605"/>
      <c r="X73" s="605"/>
      <c r="Y73" s="605"/>
      <c r="Z73" s="605"/>
      <c r="AA73" s="605"/>
      <c r="AB73" s="605"/>
    </row>
    <row r="74" spans="1:28" ht="10.5" customHeight="1">
      <c r="A74" s="281"/>
      <c r="B74" s="528" t="s">
        <v>914</v>
      </c>
      <c r="C74" s="529">
        <v>0</v>
      </c>
      <c r="D74" s="530"/>
      <c r="E74" s="291"/>
      <c r="F74" s="531"/>
      <c r="G74" s="532" t="s">
        <v>770</v>
      </c>
      <c r="H74" s="387">
        <v>3</v>
      </c>
      <c r="I74" s="602" t="s">
        <v>772</v>
      </c>
      <c r="J74" s="603"/>
      <c r="K74" s="533">
        <v>0</v>
      </c>
      <c r="L74" s="274"/>
      <c r="M74" s="274"/>
      <c r="N74" s="274"/>
      <c r="O74" s="274"/>
      <c r="P74" s="39"/>
      <c r="Q74" s="546"/>
      <c r="R74" s="274" t="s">
        <v>363</v>
      </c>
      <c r="S74" s="162"/>
      <c r="T74" s="162"/>
      <c r="U74" s="162"/>
      <c r="V74" s="162"/>
      <c r="W74" s="162"/>
      <c r="X74" s="162"/>
      <c r="Y74" s="162"/>
      <c r="Z74" s="162"/>
      <c r="AA74" s="162"/>
      <c r="AB74" s="162"/>
    </row>
    <row r="75" spans="1:28" ht="10.5" customHeight="1">
      <c r="A75" s="281"/>
      <c r="B75" s="282" t="s">
        <v>915</v>
      </c>
      <c r="C75" s="534">
        <v>301500</v>
      </c>
      <c r="D75" s="535">
        <v>144900</v>
      </c>
      <c r="E75" s="536"/>
      <c r="F75" s="537"/>
      <c r="G75" s="386" t="s">
        <v>771</v>
      </c>
      <c r="H75" s="388">
        <v>0</v>
      </c>
      <c r="I75" s="274"/>
      <c r="J75" s="274"/>
      <c r="K75" s="274"/>
      <c r="L75" s="538"/>
      <c r="M75" s="538"/>
      <c r="N75" s="538"/>
      <c r="O75" s="274"/>
      <c r="P75" s="39"/>
      <c r="Q75" s="546"/>
      <c r="R75" s="274" t="s">
        <v>505</v>
      </c>
      <c r="S75" s="162"/>
      <c r="T75" s="162"/>
      <c r="U75" s="162"/>
      <c r="V75" s="162"/>
      <c r="W75" s="162"/>
      <c r="X75" s="162"/>
      <c r="Y75" s="162"/>
      <c r="Z75" s="162"/>
      <c r="AA75" s="162"/>
      <c r="AB75" s="162"/>
    </row>
    <row r="76" spans="1:28" ht="10.5" customHeight="1">
      <c r="A76" s="39"/>
      <c r="B76" s="539" t="s">
        <v>916</v>
      </c>
      <c r="C76" s="540">
        <v>301500</v>
      </c>
      <c r="D76" s="541">
        <v>144900</v>
      </c>
      <c r="E76" s="542"/>
      <c r="F76" s="538"/>
      <c r="G76" s="543"/>
      <c r="H76" s="39"/>
      <c r="I76" s="274"/>
      <c r="J76" s="274"/>
      <c r="K76" s="274"/>
      <c r="L76" s="39"/>
      <c r="M76" s="538"/>
      <c r="N76" s="538"/>
      <c r="O76" s="274"/>
      <c r="P76" s="39"/>
      <c r="Q76" s="548"/>
      <c r="S76" s="304"/>
      <c r="T76" s="304"/>
      <c r="U76" s="304"/>
      <c r="V76" s="304"/>
      <c r="W76" s="304"/>
      <c r="X76" s="304"/>
      <c r="Y76" s="304"/>
      <c r="Z76" s="304"/>
      <c r="AA76" s="304"/>
      <c r="AB76" s="304"/>
    </row>
    <row r="77" spans="1:28" ht="1.95" customHeight="1" thickBot="1">
      <c r="A77" s="431"/>
      <c r="B77" s="549"/>
      <c r="C77" s="550"/>
      <c r="D77" s="551"/>
      <c r="E77" s="549"/>
      <c r="F77" s="552"/>
      <c r="G77" s="431"/>
      <c r="H77" s="431"/>
      <c r="I77" s="553"/>
      <c r="J77" s="553"/>
      <c r="K77" s="553"/>
      <c r="L77" s="431"/>
      <c r="M77" s="552"/>
      <c r="N77" s="552"/>
      <c r="O77" s="553"/>
      <c r="P77" s="431"/>
      <c r="Q77" s="554"/>
      <c r="R77" s="431"/>
      <c r="S77" s="432"/>
      <c r="T77" s="432"/>
      <c r="U77" s="432"/>
      <c r="V77" s="432"/>
      <c r="W77" s="432"/>
      <c r="X77" s="432"/>
      <c r="Y77" s="432"/>
      <c r="Z77" s="432"/>
      <c r="AA77" s="432"/>
      <c r="AB77" s="432"/>
    </row>
    <row r="78" spans="1:28">
      <c r="A78" s="598" t="s">
        <v>958</v>
      </c>
      <c r="B78" s="598"/>
      <c r="C78" s="598"/>
      <c r="D78" s="598"/>
      <c r="E78" s="598"/>
      <c r="F78" s="598"/>
      <c r="G78" s="598"/>
      <c r="H78" s="598"/>
      <c r="I78" s="598"/>
      <c r="J78" s="598"/>
      <c r="K78" s="598"/>
      <c r="L78" s="598"/>
      <c r="M78" s="598"/>
      <c r="N78" s="598"/>
      <c r="O78" s="598"/>
      <c r="P78" s="39"/>
      <c r="Q78" s="555"/>
      <c r="R78" s="641" t="s">
        <v>1081</v>
      </c>
      <c r="S78" s="642"/>
      <c r="T78" s="642"/>
      <c r="U78" s="642"/>
      <c r="V78" s="642"/>
      <c r="W78" s="642"/>
      <c r="X78" s="642"/>
      <c r="Y78" s="642"/>
      <c r="Z78" s="642"/>
      <c r="AA78" s="642"/>
      <c r="AB78" s="642"/>
    </row>
    <row r="79" spans="1:28" ht="13.2" customHeight="1">
      <c r="A79" s="39"/>
      <c r="B79" s="403" t="s">
        <v>1086</v>
      </c>
      <c r="C79" s="39"/>
      <c r="D79" s="39"/>
      <c r="E79" s="39"/>
      <c r="F79" s="39"/>
      <c r="G79" s="39"/>
      <c r="H79" s="39"/>
      <c r="I79" s="39"/>
      <c r="J79" s="39"/>
      <c r="K79" s="39"/>
      <c r="L79" s="39"/>
      <c r="M79" s="39"/>
      <c r="N79" s="39"/>
      <c r="O79" s="39"/>
      <c r="P79" s="39"/>
      <c r="Q79" s="555"/>
      <c r="R79" s="643" t="s">
        <v>1097</v>
      </c>
      <c r="S79" s="605"/>
      <c r="T79" s="605"/>
      <c r="U79" s="605"/>
      <c r="V79" s="605"/>
      <c r="W79" s="605"/>
      <c r="X79" s="605"/>
      <c r="Y79" s="605"/>
      <c r="Z79" s="605"/>
      <c r="AA79" s="605"/>
      <c r="AB79" s="605"/>
    </row>
    <row r="80" spans="1:28" ht="13.2" customHeight="1">
      <c r="A80" s="39"/>
      <c r="B80" s="403" t="s">
        <v>1087</v>
      </c>
      <c r="C80" s="39"/>
      <c r="D80" s="39"/>
      <c r="E80" s="39"/>
      <c r="F80" s="39"/>
      <c r="G80" s="39"/>
      <c r="H80" s="39"/>
      <c r="I80" s="39"/>
      <c r="J80" s="39"/>
      <c r="K80" s="39"/>
      <c r="L80" s="39"/>
      <c r="M80" s="39"/>
      <c r="N80" s="39"/>
      <c r="O80" s="39"/>
      <c r="P80" s="39"/>
      <c r="Q80" s="555"/>
      <c r="R80" s="643"/>
      <c r="S80" s="605"/>
      <c r="T80" s="605"/>
      <c r="U80" s="605"/>
      <c r="V80" s="605"/>
      <c r="W80" s="605"/>
      <c r="X80" s="605"/>
      <c r="Y80" s="605"/>
      <c r="Z80" s="605"/>
      <c r="AA80" s="605"/>
      <c r="AB80" s="605"/>
    </row>
    <row r="81" spans="1:28" ht="13.8" thickBot="1">
      <c r="A81" s="39"/>
      <c r="B81" s="403" t="str">
        <f>$F$33&amp;"の特定親族（１人目）"</f>
        <v>生計維持者１の特定親族（１人目）</v>
      </c>
      <c r="C81" s="39"/>
      <c r="D81" s="39"/>
      <c r="E81" s="39"/>
      <c r="F81" s="39"/>
      <c r="G81" s="39"/>
      <c r="H81" s="39"/>
      <c r="I81" s="403" t="str">
        <f>$L$33&amp;"の特定親族（１人目）"</f>
        <v>生計維持者２の特定親族（１人目）</v>
      </c>
      <c r="J81" s="39"/>
      <c r="K81" s="39"/>
      <c r="L81" s="403"/>
      <c r="M81" s="39"/>
      <c r="N81" s="39"/>
      <c r="O81" s="39"/>
      <c r="P81" s="413"/>
      <c r="Q81" s="433"/>
      <c r="R81" s="643"/>
      <c r="S81" s="605"/>
      <c r="T81" s="605"/>
      <c r="U81" s="605"/>
      <c r="V81" s="605"/>
      <c r="W81" s="605"/>
      <c r="X81" s="605"/>
      <c r="Y81" s="605"/>
      <c r="Z81" s="605"/>
      <c r="AA81" s="605"/>
      <c r="AB81" s="605"/>
    </row>
    <row r="82" spans="1:28" ht="13.8" thickBot="1">
      <c r="A82" s="403"/>
      <c r="B82" s="638" t="s">
        <v>217</v>
      </c>
      <c r="C82" s="639"/>
      <c r="D82" s="640"/>
      <c r="E82" s="436"/>
      <c r="F82" s="437" t="s">
        <v>49</v>
      </c>
      <c r="G82" s="403"/>
      <c r="H82" s="403"/>
      <c r="I82" s="403"/>
      <c r="J82" s="403"/>
      <c r="K82" s="403"/>
      <c r="L82" s="437" t="s">
        <v>49</v>
      </c>
      <c r="M82" s="403"/>
      <c r="N82" s="39"/>
      <c r="O82" s="39"/>
      <c r="P82" s="413"/>
      <c r="Q82" s="433"/>
      <c r="R82" s="643"/>
      <c r="S82" s="605"/>
      <c r="T82" s="605"/>
      <c r="U82" s="605"/>
      <c r="V82" s="605"/>
      <c r="W82" s="605"/>
      <c r="X82" s="605"/>
      <c r="Y82" s="605"/>
      <c r="Z82" s="605"/>
      <c r="AA82" s="605"/>
      <c r="AB82" s="605"/>
    </row>
    <row r="83" spans="1:28" ht="13.8" thickBot="1">
      <c r="A83" s="403"/>
      <c r="B83" s="638" t="s">
        <v>219</v>
      </c>
      <c r="C83" s="639"/>
      <c r="D83" s="640"/>
      <c r="E83" s="438"/>
      <c r="F83" s="439">
        <v>1650000</v>
      </c>
      <c r="G83" s="403" t="str">
        <f>MID(F82,SEARCH("(",F82)+1,3)</f>
        <v>JPY</v>
      </c>
      <c r="H83" s="39"/>
      <c r="I83" s="39"/>
      <c r="J83" s="39"/>
      <c r="K83" s="39"/>
      <c r="L83" s="439">
        <v>0</v>
      </c>
      <c r="M83" s="403" t="s">
        <v>446</v>
      </c>
      <c r="N83" s="39"/>
      <c r="O83" s="39"/>
      <c r="P83" s="413"/>
      <c r="Q83" s="433"/>
      <c r="R83" s="643"/>
      <c r="S83" s="605"/>
      <c r="T83" s="605"/>
      <c r="U83" s="605"/>
      <c r="V83" s="605"/>
      <c r="W83" s="605"/>
      <c r="X83" s="605"/>
      <c r="Y83" s="605"/>
      <c r="Z83" s="605"/>
      <c r="AA83" s="605"/>
      <c r="AB83" s="605"/>
    </row>
    <row r="84" spans="1:28" ht="13.95" customHeight="1" thickBot="1">
      <c r="A84" s="403"/>
      <c r="B84" s="440" t="s">
        <v>959</v>
      </c>
      <c r="C84" s="441"/>
      <c r="D84" s="441"/>
      <c r="E84" s="442"/>
      <c r="F84" s="437" t="s">
        <v>49</v>
      </c>
      <c r="G84" s="403"/>
      <c r="H84" s="39"/>
      <c r="I84" s="39"/>
      <c r="J84" s="39"/>
      <c r="K84" s="39"/>
      <c r="L84" s="437" t="s">
        <v>49</v>
      </c>
      <c r="M84" s="443"/>
      <c r="N84" s="39"/>
      <c r="O84" s="39"/>
      <c r="P84" s="413"/>
      <c r="Q84" s="433"/>
      <c r="R84" s="643" t="s">
        <v>1082</v>
      </c>
      <c r="S84" s="605"/>
      <c r="T84" s="605"/>
      <c r="U84" s="605"/>
      <c r="V84" s="605"/>
      <c r="W84" s="605"/>
      <c r="X84" s="605"/>
      <c r="Y84" s="605"/>
      <c r="Z84" s="605"/>
      <c r="AA84" s="605"/>
      <c r="AB84" s="605"/>
    </row>
    <row r="85" spans="1:28" ht="13.95" customHeight="1" thickBot="1">
      <c r="A85" s="403"/>
      <c r="B85" s="444" t="s">
        <v>960</v>
      </c>
      <c r="C85" s="438"/>
      <c r="D85" s="445"/>
      <c r="E85" s="442"/>
      <c r="F85" s="439">
        <v>0</v>
      </c>
      <c r="G85" s="403" t="str">
        <f>MID(F84,SEARCH("(",F84)+1,3)</f>
        <v>JPY</v>
      </c>
      <c r="H85" s="39"/>
      <c r="I85" s="39"/>
      <c r="J85" s="39"/>
      <c r="K85" s="39"/>
      <c r="L85" s="439">
        <v>0</v>
      </c>
      <c r="M85" s="443" t="s">
        <v>446</v>
      </c>
      <c r="N85" s="39"/>
      <c r="O85" s="39"/>
      <c r="P85" s="413"/>
      <c r="Q85" s="433"/>
      <c r="R85" s="643" t="s">
        <v>1083</v>
      </c>
      <c r="S85" s="605"/>
      <c r="T85" s="605"/>
      <c r="U85" s="605"/>
      <c r="V85" s="605"/>
      <c r="W85" s="605"/>
      <c r="X85" s="605"/>
      <c r="Y85" s="605"/>
      <c r="Z85" s="605"/>
      <c r="AA85" s="605"/>
      <c r="AB85" s="605"/>
    </row>
    <row r="86" spans="1:28">
      <c r="A86" s="412"/>
      <c r="B86" s="413"/>
      <c r="C86" s="413"/>
      <c r="D86" s="413"/>
      <c r="E86" s="413"/>
      <c r="F86" s="413"/>
      <c r="G86" s="413"/>
      <c r="H86" s="413"/>
      <c r="I86" s="413"/>
      <c r="J86" s="413"/>
      <c r="K86" s="413"/>
      <c r="L86" s="413"/>
      <c r="M86" s="413"/>
      <c r="N86" s="413"/>
      <c r="O86" s="413"/>
      <c r="P86" s="413"/>
      <c r="Q86" s="433"/>
      <c r="R86" s="643" t="s">
        <v>1084</v>
      </c>
      <c r="S86" s="605"/>
      <c r="T86" s="605"/>
      <c r="U86" s="605"/>
      <c r="V86" s="605"/>
      <c r="W86" s="605"/>
      <c r="X86" s="605"/>
      <c r="Y86" s="605"/>
      <c r="Z86" s="605"/>
      <c r="AA86" s="605"/>
      <c r="AB86" s="605"/>
    </row>
    <row r="87" spans="1:28" ht="13.8" thickBot="1">
      <c r="A87" s="412"/>
      <c r="B87" s="412" t="str">
        <f>$F$33&amp;"の特定親族（２人目）"</f>
        <v>生計維持者１の特定親族（２人目）</v>
      </c>
      <c r="C87" s="413"/>
      <c r="D87" s="413"/>
      <c r="E87" s="413"/>
      <c r="F87" s="413"/>
      <c r="G87" s="413"/>
      <c r="H87" s="413"/>
      <c r="I87" s="412" t="str">
        <f>$L$33&amp;"の特定親族（２人目）"</f>
        <v>生計維持者２の特定親族（２人目）</v>
      </c>
      <c r="J87" s="413"/>
      <c r="K87" s="413"/>
      <c r="L87" s="412"/>
      <c r="M87" s="413"/>
      <c r="N87" s="413"/>
      <c r="O87" s="413"/>
      <c r="P87" s="413"/>
      <c r="Q87" s="433"/>
      <c r="R87" s="512"/>
      <c r="S87" s="395"/>
      <c r="T87" s="395"/>
      <c r="U87" s="395"/>
      <c r="V87" s="395"/>
      <c r="W87" s="395"/>
      <c r="X87" s="395"/>
      <c r="Y87" s="395"/>
      <c r="Z87" s="395"/>
      <c r="AA87" s="395"/>
      <c r="AB87" s="395"/>
    </row>
    <row r="88" spans="1:28" ht="13.8" thickBot="1">
      <c r="A88" s="412"/>
      <c r="B88" s="599" t="s">
        <v>217</v>
      </c>
      <c r="C88" s="600"/>
      <c r="D88" s="601"/>
      <c r="E88" s="414"/>
      <c r="F88" s="415" t="s">
        <v>49</v>
      </c>
      <c r="G88" s="412"/>
      <c r="H88" s="412"/>
      <c r="I88" s="412"/>
      <c r="J88" s="412"/>
      <c r="K88" s="412"/>
      <c r="L88" s="415" t="s">
        <v>49</v>
      </c>
      <c r="M88" s="412"/>
      <c r="N88" s="413"/>
      <c r="O88" s="413"/>
      <c r="P88" s="413"/>
      <c r="Q88" s="433"/>
      <c r="R88" s="435"/>
      <c r="S88" s="435"/>
      <c r="T88" s="435"/>
      <c r="U88" s="435"/>
      <c r="V88" s="435"/>
      <c r="W88" s="435"/>
      <c r="X88" s="435"/>
      <c r="Y88" s="435"/>
      <c r="Z88" s="435"/>
      <c r="AA88" s="435"/>
      <c r="AB88" s="435"/>
    </row>
    <row r="89" spans="1:28" ht="13.8" thickBot="1">
      <c r="A89" s="412"/>
      <c r="B89" s="599" t="s">
        <v>219</v>
      </c>
      <c r="C89" s="600"/>
      <c r="D89" s="601"/>
      <c r="E89" s="416"/>
      <c r="F89" s="417">
        <v>0</v>
      </c>
      <c r="G89" s="412" t="str">
        <f>MID(F88,SEARCH("(",F88)+1,3)</f>
        <v>JPY</v>
      </c>
      <c r="H89" s="413"/>
      <c r="I89" s="413"/>
      <c r="J89" s="413"/>
      <c r="K89" s="413"/>
      <c r="L89" s="417">
        <v>0</v>
      </c>
      <c r="M89" s="412" t="str">
        <f>MID(L88,SEARCH("(",L88)+1,3)</f>
        <v>JPY</v>
      </c>
      <c r="N89" s="413"/>
      <c r="O89" s="413"/>
      <c r="P89" s="413"/>
      <c r="Q89" s="433"/>
      <c r="R89" s="435"/>
      <c r="S89" s="435"/>
      <c r="T89" s="435"/>
      <c r="U89" s="435"/>
      <c r="V89" s="435"/>
      <c r="W89" s="435"/>
      <c r="X89" s="435"/>
      <c r="Y89" s="435"/>
      <c r="Z89" s="435"/>
      <c r="AA89" s="435"/>
      <c r="AB89" s="435"/>
    </row>
    <row r="90" spans="1:28" ht="13.8" thickBot="1">
      <c r="A90" s="412"/>
      <c r="B90" s="418" t="s">
        <v>959</v>
      </c>
      <c r="C90" s="419"/>
      <c r="D90" s="419"/>
      <c r="E90" s="420"/>
      <c r="F90" s="415" t="s">
        <v>49</v>
      </c>
      <c r="G90" s="412"/>
      <c r="H90" s="413"/>
      <c r="I90" s="413"/>
      <c r="J90" s="413"/>
      <c r="K90" s="413"/>
      <c r="L90" s="415" t="s">
        <v>49</v>
      </c>
      <c r="M90" s="421"/>
      <c r="N90" s="413"/>
      <c r="O90" s="413"/>
      <c r="P90" s="413"/>
      <c r="Q90" s="433"/>
      <c r="R90" s="435"/>
      <c r="S90" s="435"/>
      <c r="T90" s="435"/>
      <c r="U90" s="435"/>
      <c r="V90" s="435"/>
      <c r="W90" s="435"/>
      <c r="X90" s="435"/>
      <c r="Y90" s="435"/>
      <c r="Z90" s="435"/>
      <c r="AA90" s="435"/>
      <c r="AB90" s="435"/>
    </row>
    <row r="91" spans="1:28" ht="13.8" thickBot="1">
      <c r="A91" s="412"/>
      <c r="B91" s="422" t="s">
        <v>960</v>
      </c>
      <c r="C91" s="416"/>
      <c r="D91" s="423"/>
      <c r="E91" s="420"/>
      <c r="F91" s="417">
        <v>0</v>
      </c>
      <c r="G91" s="412" t="str">
        <f>MID(F90,SEARCH("(",F90)+1,3)</f>
        <v>JPY</v>
      </c>
      <c r="H91" s="413"/>
      <c r="I91" s="413"/>
      <c r="J91" s="413"/>
      <c r="K91" s="413"/>
      <c r="L91" s="417">
        <v>0</v>
      </c>
      <c r="M91" s="412" t="str">
        <f>MID(L90,SEARCH("(",L90)+1,3)</f>
        <v>JPY</v>
      </c>
      <c r="N91" s="413"/>
      <c r="O91" s="413"/>
      <c r="P91" s="413"/>
      <c r="Q91" s="433"/>
      <c r="R91" s="435"/>
      <c r="S91" s="435"/>
      <c r="T91" s="435"/>
      <c r="U91" s="435"/>
      <c r="V91" s="435"/>
      <c r="W91" s="435"/>
      <c r="X91" s="435"/>
      <c r="Y91" s="435"/>
      <c r="Z91" s="435"/>
      <c r="AA91" s="435"/>
      <c r="AB91" s="435"/>
    </row>
    <row r="92" spans="1:28">
      <c r="A92" s="412"/>
      <c r="B92" s="413"/>
      <c r="C92" s="413"/>
      <c r="D92" s="413"/>
      <c r="E92" s="413"/>
      <c r="F92" s="413"/>
      <c r="G92" s="413"/>
      <c r="H92" s="413"/>
      <c r="I92" s="413"/>
      <c r="J92" s="413"/>
      <c r="K92" s="413"/>
      <c r="L92" s="413"/>
      <c r="M92" s="413"/>
      <c r="N92" s="413"/>
      <c r="O92" s="413"/>
      <c r="P92" s="413"/>
      <c r="Q92" s="433"/>
      <c r="R92" s="435"/>
      <c r="S92" s="435"/>
      <c r="T92" s="435"/>
      <c r="U92" s="435"/>
      <c r="V92" s="435"/>
      <c r="W92" s="435"/>
      <c r="X92" s="435"/>
      <c r="Y92" s="435"/>
      <c r="Z92" s="435"/>
      <c r="AA92" s="435"/>
      <c r="AB92" s="435"/>
    </row>
    <row r="93" spans="1:28" ht="13.8" thickBot="1">
      <c r="A93" s="412"/>
      <c r="B93" s="412" t="str">
        <f>$F$33&amp;"の特定親族（３人目）"</f>
        <v>生計維持者１の特定親族（３人目）</v>
      </c>
      <c r="C93" s="413"/>
      <c r="D93" s="413"/>
      <c r="E93" s="413"/>
      <c r="F93" s="413"/>
      <c r="G93" s="413"/>
      <c r="H93" s="413"/>
      <c r="I93" s="412" t="str">
        <f>$L$33&amp;"の特定親族（３人目）"</f>
        <v>生計維持者２の特定親族（３人目）</v>
      </c>
      <c r="J93" s="413"/>
      <c r="K93" s="413"/>
      <c r="L93" s="412"/>
      <c r="M93" s="413"/>
      <c r="N93" s="413"/>
      <c r="O93" s="413"/>
      <c r="P93" s="413"/>
      <c r="Q93" s="433"/>
      <c r="R93" s="435"/>
      <c r="S93" s="435"/>
      <c r="T93" s="435"/>
      <c r="U93" s="435"/>
      <c r="V93" s="435"/>
      <c r="W93" s="435"/>
      <c r="X93" s="435"/>
      <c r="Y93" s="435"/>
      <c r="Z93" s="435"/>
      <c r="AA93" s="435"/>
      <c r="AB93" s="435"/>
    </row>
    <row r="94" spans="1:28" ht="13.8" thickBot="1">
      <c r="A94" s="412"/>
      <c r="B94" s="599" t="s">
        <v>217</v>
      </c>
      <c r="C94" s="600"/>
      <c r="D94" s="601"/>
      <c r="E94" s="414"/>
      <c r="F94" s="415" t="s">
        <v>49</v>
      </c>
      <c r="G94" s="412"/>
      <c r="H94" s="412"/>
      <c r="I94" s="412"/>
      <c r="J94" s="412"/>
      <c r="K94" s="412"/>
      <c r="L94" s="415" t="s">
        <v>49</v>
      </c>
      <c r="M94" s="412"/>
      <c r="N94" s="413"/>
      <c r="O94" s="413"/>
      <c r="P94" s="413"/>
      <c r="Q94" s="433"/>
      <c r="R94" s="435"/>
      <c r="S94" s="435"/>
      <c r="T94" s="435"/>
      <c r="U94" s="435"/>
      <c r="V94" s="435"/>
      <c r="W94" s="435"/>
      <c r="X94" s="435"/>
      <c r="Y94" s="435"/>
      <c r="Z94" s="435"/>
      <c r="AA94" s="435"/>
      <c r="AB94" s="435"/>
    </row>
    <row r="95" spans="1:28" ht="13.8" thickBot="1">
      <c r="A95" s="412"/>
      <c r="B95" s="599" t="s">
        <v>219</v>
      </c>
      <c r="C95" s="600"/>
      <c r="D95" s="601"/>
      <c r="E95" s="416"/>
      <c r="F95" s="417">
        <v>0</v>
      </c>
      <c r="G95" s="412" t="str">
        <f>MID(F94,SEARCH("(",F94)+1,3)</f>
        <v>JPY</v>
      </c>
      <c r="H95" s="413"/>
      <c r="I95" s="413"/>
      <c r="J95" s="413"/>
      <c r="K95" s="413"/>
      <c r="L95" s="417">
        <v>0</v>
      </c>
      <c r="M95" s="412" t="str">
        <f>MID(L94,SEARCH("(",L94)+1,3)</f>
        <v>JPY</v>
      </c>
      <c r="N95" s="413"/>
      <c r="O95" s="413"/>
      <c r="P95" s="413"/>
      <c r="Q95" s="433"/>
      <c r="R95" s="435"/>
      <c r="S95" s="435"/>
      <c r="T95" s="435"/>
      <c r="U95" s="435"/>
      <c r="V95" s="435"/>
      <c r="W95" s="435"/>
      <c r="X95" s="435"/>
      <c r="Y95" s="435"/>
      <c r="Z95" s="435"/>
      <c r="AA95" s="435"/>
      <c r="AB95" s="435"/>
    </row>
    <row r="96" spans="1:28" ht="13.8" thickBot="1">
      <c r="A96" s="412"/>
      <c r="B96" s="418" t="s">
        <v>959</v>
      </c>
      <c r="C96" s="419"/>
      <c r="D96" s="419"/>
      <c r="E96" s="420"/>
      <c r="F96" s="415" t="s">
        <v>49</v>
      </c>
      <c r="G96" s="412"/>
      <c r="H96" s="413"/>
      <c r="I96" s="413"/>
      <c r="J96" s="413"/>
      <c r="K96" s="413"/>
      <c r="L96" s="415" t="s">
        <v>49</v>
      </c>
      <c r="M96" s="421"/>
      <c r="N96" s="413"/>
      <c r="O96" s="413"/>
      <c r="P96" s="413"/>
      <c r="Q96" s="433"/>
      <c r="R96" s="435"/>
      <c r="S96" s="435"/>
      <c r="T96" s="435"/>
      <c r="U96" s="435"/>
      <c r="V96" s="435"/>
      <c r="W96" s="435"/>
      <c r="X96" s="435"/>
      <c r="Y96" s="435"/>
      <c r="Z96" s="435"/>
      <c r="AA96" s="435"/>
      <c r="AB96" s="435"/>
    </row>
    <row r="97" spans="1:28" ht="13.8" thickBot="1">
      <c r="A97" s="412"/>
      <c r="B97" s="422" t="s">
        <v>960</v>
      </c>
      <c r="C97" s="416"/>
      <c r="D97" s="423"/>
      <c r="E97" s="420"/>
      <c r="F97" s="417">
        <v>0</v>
      </c>
      <c r="G97" s="412" t="str">
        <f>MID(F96,SEARCH("(",F96)+1,3)</f>
        <v>JPY</v>
      </c>
      <c r="H97" s="413"/>
      <c r="I97" s="413"/>
      <c r="J97" s="413"/>
      <c r="K97" s="413"/>
      <c r="L97" s="417">
        <v>0</v>
      </c>
      <c r="M97" s="412" t="str">
        <f>MID(L96,SEARCH("(",L96)+1,3)</f>
        <v>JPY</v>
      </c>
      <c r="N97" s="413"/>
      <c r="O97" s="413"/>
      <c r="P97" s="413"/>
      <c r="Q97" s="433"/>
      <c r="R97" s="435"/>
      <c r="S97" s="435"/>
      <c r="T97" s="435"/>
      <c r="U97" s="435"/>
      <c r="V97" s="435"/>
      <c r="W97" s="435"/>
      <c r="X97" s="435"/>
      <c r="Y97" s="435"/>
      <c r="Z97" s="435"/>
      <c r="AA97" s="435"/>
      <c r="AB97" s="435"/>
    </row>
    <row r="98" spans="1:28">
      <c r="A98" s="412"/>
      <c r="B98" s="413"/>
      <c r="C98" s="413"/>
      <c r="D98" s="413"/>
      <c r="E98" s="413"/>
      <c r="F98" s="413"/>
      <c r="G98" s="413"/>
      <c r="H98" s="413"/>
      <c r="I98" s="413"/>
      <c r="J98" s="413"/>
      <c r="K98" s="413"/>
      <c r="L98" s="413"/>
      <c r="M98" s="413"/>
      <c r="N98" s="413"/>
      <c r="O98" s="413"/>
      <c r="P98" s="413"/>
      <c r="Q98" s="433"/>
      <c r="R98" s="435"/>
      <c r="S98" s="435"/>
      <c r="T98" s="435"/>
      <c r="U98" s="435"/>
      <c r="V98" s="435"/>
      <c r="W98" s="435"/>
      <c r="X98" s="435"/>
      <c r="Y98" s="435"/>
      <c r="Z98" s="435"/>
      <c r="AA98" s="435"/>
      <c r="AB98" s="435"/>
    </row>
    <row r="99" spans="1:28" ht="13.8" thickBot="1">
      <c r="A99" s="412"/>
      <c r="B99" s="412" t="str">
        <f>$F$33&amp;"の特定親族（４人目）"</f>
        <v>生計維持者１の特定親族（４人目）</v>
      </c>
      <c r="C99" s="413"/>
      <c r="D99" s="413"/>
      <c r="E99" s="413"/>
      <c r="F99" s="413"/>
      <c r="G99" s="413"/>
      <c r="H99" s="413"/>
      <c r="I99" s="412" t="str">
        <f>$L$33&amp;"の特定親族（４人目）"</f>
        <v>生計維持者２の特定親族（４人目）</v>
      </c>
      <c r="J99" s="413"/>
      <c r="K99" s="413"/>
      <c r="L99" s="412"/>
      <c r="M99" s="413"/>
      <c r="N99" s="413"/>
      <c r="O99" s="413"/>
      <c r="P99" s="413"/>
      <c r="Q99" s="433"/>
      <c r="R99" s="435"/>
      <c r="S99" s="435"/>
      <c r="T99" s="435"/>
      <c r="U99" s="435"/>
      <c r="V99" s="435"/>
      <c r="W99" s="435"/>
      <c r="X99" s="435"/>
      <c r="Y99" s="435"/>
      <c r="Z99" s="435"/>
      <c r="AA99" s="435"/>
      <c r="AB99" s="435"/>
    </row>
    <row r="100" spans="1:28" ht="13.8" thickBot="1">
      <c r="A100" s="412"/>
      <c r="B100" s="599" t="s">
        <v>217</v>
      </c>
      <c r="C100" s="600"/>
      <c r="D100" s="601"/>
      <c r="E100" s="414"/>
      <c r="F100" s="415" t="s">
        <v>49</v>
      </c>
      <c r="G100" s="412"/>
      <c r="H100" s="412"/>
      <c r="I100" s="412"/>
      <c r="J100" s="412"/>
      <c r="K100" s="412"/>
      <c r="L100" s="415" t="s">
        <v>49</v>
      </c>
      <c r="M100" s="412"/>
      <c r="N100" s="413"/>
      <c r="O100" s="413"/>
      <c r="P100" s="413"/>
      <c r="Q100" s="433"/>
      <c r="R100" s="435"/>
      <c r="S100" s="435"/>
      <c r="T100" s="435"/>
      <c r="U100" s="435"/>
      <c r="V100" s="435"/>
      <c r="W100" s="435"/>
      <c r="X100" s="435"/>
      <c r="Y100" s="435"/>
      <c r="Z100" s="435"/>
      <c r="AA100" s="435"/>
      <c r="AB100" s="435"/>
    </row>
    <row r="101" spans="1:28" ht="13.8" thickBot="1">
      <c r="A101" s="412"/>
      <c r="B101" s="599" t="s">
        <v>219</v>
      </c>
      <c r="C101" s="600"/>
      <c r="D101" s="601"/>
      <c r="E101" s="416"/>
      <c r="F101" s="417">
        <v>0</v>
      </c>
      <c r="G101" s="412" t="str">
        <f>MID(F100,SEARCH("(",F100)+1,3)</f>
        <v>JPY</v>
      </c>
      <c r="H101" s="413"/>
      <c r="I101" s="413"/>
      <c r="J101" s="413"/>
      <c r="K101" s="413"/>
      <c r="L101" s="417">
        <v>0</v>
      </c>
      <c r="M101" s="412" t="str">
        <f>MID(L100,SEARCH("(",L100)+1,3)</f>
        <v>JPY</v>
      </c>
      <c r="N101" s="413"/>
      <c r="O101" s="413"/>
      <c r="P101" s="413"/>
      <c r="Q101" s="433"/>
      <c r="R101" s="435"/>
      <c r="S101" s="435"/>
      <c r="T101" s="435"/>
      <c r="U101" s="435"/>
      <c r="V101" s="435"/>
      <c r="W101" s="435"/>
      <c r="X101" s="435"/>
      <c r="Y101" s="435"/>
      <c r="Z101" s="435"/>
      <c r="AA101" s="435"/>
      <c r="AB101" s="435"/>
    </row>
    <row r="102" spans="1:28" ht="13.8" thickBot="1">
      <c r="A102" s="412"/>
      <c r="B102" s="418" t="s">
        <v>959</v>
      </c>
      <c r="C102" s="419"/>
      <c r="D102" s="419"/>
      <c r="E102" s="420"/>
      <c r="F102" s="415" t="s">
        <v>49</v>
      </c>
      <c r="G102" s="412"/>
      <c r="H102" s="413"/>
      <c r="I102" s="413"/>
      <c r="J102" s="413"/>
      <c r="K102" s="413"/>
      <c r="L102" s="415" t="s">
        <v>49</v>
      </c>
      <c r="M102" s="421"/>
      <c r="N102" s="413"/>
      <c r="O102" s="413"/>
      <c r="P102" s="413"/>
      <c r="Q102" s="433"/>
      <c r="R102" s="435"/>
      <c r="S102" s="435"/>
      <c r="T102" s="435"/>
      <c r="U102" s="435"/>
      <c r="V102" s="435"/>
      <c r="W102" s="435"/>
      <c r="X102" s="435"/>
      <c r="Y102" s="435"/>
      <c r="Z102" s="435"/>
      <c r="AA102" s="435"/>
      <c r="AB102" s="435"/>
    </row>
    <row r="103" spans="1:28" ht="13.8" thickBot="1">
      <c r="A103" s="412"/>
      <c r="B103" s="422" t="s">
        <v>960</v>
      </c>
      <c r="C103" s="416"/>
      <c r="D103" s="423"/>
      <c r="E103" s="420"/>
      <c r="F103" s="417">
        <v>0</v>
      </c>
      <c r="G103" s="412" t="str">
        <f>MID(F102,SEARCH("(",F102)+1,3)</f>
        <v>JPY</v>
      </c>
      <c r="H103" s="413"/>
      <c r="I103" s="413"/>
      <c r="J103" s="413"/>
      <c r="K103" s="413"/>
      <c r="L103" s="417">
        <v>0</v>
      </c>
      <c r="M103" s="412" t="str">
        <f>MID(L102,SEARCH("(",L102)+1,3)</f>
        <v>JPY</v>
      </c>
      <c r="N103" s="413"/>
      <c r="O103" s="413"/>
      <c r="P103" s="413"/>
      <c r="Q103" s="433"/>
      <c r="R103" s="435"/>
      <c r="S103" s="435"/>
      <c r="T103" s="435"/>
      <c r="U103" s="435"/>
      <c r="V103" s="435"/>
      <c r="W103" s="435"/>
      <c r="X103" s="435"/>
      <c r="Y103" s="435"/>
      <c r="Z103" s="435"/>
      <c r="AA103" s="435"/>
      <c r="AB103" s="435"/>
    </row>
    <row r="104" spans="1:28">
      <c r="A104" s="412"/>
      <c r="B104" s="413"/>
      <c r="C104" s="413"/>
      <c r="D104" s="413"/>
      <c r="E104" s="413"/>
      <c r="F104" s="413"/>
      <c r="G104" s="413"/>
      <c r="H104" s="413"/>
      <c r="I104" s="413"/>
      <c r="J104" s="413"/>
      <c r="K104" s="413"/>
      <c r="L104" s="413"/>
      <c r="M104" s="413"/>
      <c r="N104" s="413"/>
      <c r="O104" s="413"/>
      <c r="P104" s="413"/>
      <c r="Q104" s="433"/>
      <c r="R104" s="435"/>
      <c r="S104" s="435"/>
      <c r="T104" s="435"/>
      <c r="U104" s="435"/>
      <c r="V104" s="435"/>
      <c r="W104" s="435"/>
      <c r="X104" s="435"/>
      <c r="Y104" s="435"/>
      <c r="Z104" s="435"/>
      <c r="AA104" s="435"/>
      <c r="AB104" s="435"/>
    </row>
    <row r="105" spans="1:28" ht="13.8" thickBot="1">
      <c r="A105" s="412"/>
      <c r="B105" s="412" t="str">
        <f>$F$33&amp;"の特定親族（５人目）"</f>
        <v>生計維持者１の特定親族（５人目）</v>
      </c>
      <c r="C105" s="413"/>
      <c r="D105" s="413"/>
      <c r="E105" s="413"/>
      <c r="F105" s="413"/>
      <c r="G105" s="413"/>
      <c r="H105" s="413"/>
      <c r="I105" s="412" t="str">
        <f>$L$33&amp;"の特定親族（５人目）"</f>
        <v>生計維持者２の特定親族（５人目）</v>
      </c>
      <c r="J105" s="413"/>
      <c r="K105" s="413"/>
      <c r="L105" s="412"/>
      <c r="M105" s="413"/>
      <c r="N105" s="413"/>
      <c r="O105" s="413"/>
      <c r="P105" s="413"/>
      <c r="Q105" s="433"/>
      <c r="R105" s="435"/>
      <c r="S105" s="435"/>
      <c r="T105" s="435"/>
      <c r="U105" s="435"/>
      <c r="V105" s="435"/>
      <c r="W105" s="435"/>
      <c r="X105" s="435"/>
      <c r="Y105" s="435"/>
      <c r="Z105" s="435"/>
      <c r="AA105" s="435"/>
      <c r="AB105" s="435"/>
    </row>
    <row r="106" spans="1:28" ht="13.8" thickBot="1">
      <c r="A106" s="412"/>
      <c r="B106" s="599" t="s">
        <v>217</v>
      </c>
      <c r="C106" s="600"/>
      <c r="D106" s="601"/>
      <c r="E106" s="414"/>
      <c r="F106" s="415" t="s">
        <v>49</v>
      </c>
      <c r="G106" s="412"/>
      <c r="H106" s="412"/>
      <c r="I106" s="412"/>
      <c r="J106" s="412"/>
      <c r="K106" s="412"/>
      <c r="L106" s="415" t="s">
        <v>49</v>
      </c>
      <c r="M106" s="412"/>
      <c r="N106" s="413"/>
      <c r="O106" s="413"/>
      <c r="P106" s="413"/>
      <c r="Q106" s="433"/>
      <c r="R106" s="435"/>
      <c r="S106" s="435"/>
      <c r="T106" s="435"/>
      <c r="U106" s="435"/>
      <c r="V106" s="435"/>
      <c r="W106" s="435"/>
      <c r="X106" s="435"/>
      <c r="Y106" s="435"/>
      <c r="Z106" s="435"/>
      <c r="AA106" s="435"/>
      <c r="AB106" s="435"/>
    </row>
    <row r="107" spans="1:28" ht="13.8" thickBot="1">
      <c r="A107" s="412"/>
      <c r="B107" s="599" t="s">
        <v>219</v>
      </c>
      <c r="C107" s="600"/>
      <c r="D107" s="601"/>
      <c r="E107" s="416"/>
      <c r="F107" s="417">
        <v>0</v>
      </c>
      <c r="G107" s="412" t="str">
        <f>MID(F106,SEARCH("(",F106)+1,3)</f>
        <v>JPY</v>
      </c>
      <c r="H107" s="413"/>
      <c r="I107" s="413"/>
      <c r="J107" s="413"/>
      <c r="K107" s="413"/>
      <c r="L107" s="417">
        <v>0</v>
      </c>
      <c r="M107" s="412" t="str">
        <f>MID(L106,SEARCH("(",L106)+1,3)</f>
        <v>JPY</v>
      </c>
      <c r="N107" s="413"/>
      <c r="O107" s="413"/>
      <c r="P107" s="413"/>
      <c r="Q107" s="433"/>
      <c r="R107" s="435"/>
      <c r="S107" s="435"/>
      <c r="T107" s="435"/>
      <c r="U107" s="435"/>
      <c r="V107" s="435"/>
      <c r="W107" s="435"/>
      <c r="X107" s="435"/>
      <c r="Y107" s="435"/>
      <c r="Z107" s="435"/>
      <c r="AA107" s="435"/>
      <c r="AB107" s="435"/>
    </row>
    <row r="108" spans="1:28" ht="13.8" thickBot="1">
      <c r="A108" s="412"/>
      <c r="B108" s="418" t="s">
        <v>959</v>
      </c>
      <c r="C108" s="419"/>
      <c r="D108" s="419"/>
      <c r="E108" s="420"/>
      <c r="F108" s="415" t="s">
        <v>49</v>
      </c>
      <c r="G108" s="412"/>
      <c r="H108" s="413"/>
      <c r="I108" s="413"/>
      <c r="J108" s="413"/>
      <c r="K108" s="413"/>
      <c r="L108" s="415" t="s">
        <v>49</v>
      </c>
      <c r="M108" s="421"/>
      <c r="N108" s="413"/>
      <c r="O108" s="413"/>
      <c r="P108" s="413"/>
      <c r="Q108" s="433"/>
      <c r="R108" s="435"/>
      <c r="S108" s="435"/>
      <c r="T108" s="435"/>
      <c r="U108" s="435"/>
      <c r="V108" s="435"/>
      <c r="W108" s="435"/>
      <c r="X108" s="435"/>
      <c r="Y108" s="435"/>
      <c r="Z108" s="435"/>
      <c r="AA108" s="435"/>
      <c r="AB108" s="435"/>
    </row>
    <row r="109" spans="1:28" ht="13.8" thickBot="1">
      <c r="A109" s="412"/>
      <c r="B109" s="422" t="s">
        <v>960</v>
      </c>
      <c r="C109" s="416"/>
      <c r="D109" s="423"/>
      <c r="E109" s="420"/>
      <c r="F109" s="417">
        <v>0</v>
      </c>
      <c r="G109" s="412" t="str">
        <f>MID(F108,SEARCH("(",F108)+1,3)</f>
        <v>JPY</v>
      </c>
      <c r="H109" s="413"/>
      <c r="I109" s="413"/>
      <c r="J109" s="413"/>
      <c r="K109" s="413"/>
      <c r="L109" s="417">
        <v>0</v>
      </c>
      <c r="M109" s="412" t="str">
        <f>MID(L108,SEARCH("(",L108)+1,3)</f>
        <v>JPY</v>
      </c>
      <c r="N109" s="413"/>
      <c r="O109" s="413"/>
      <c r="P109" s="413"/>
      <c r="Q109" s="433"/>
      <c r="R109" s="435"/>
      <c r="S109" s="435"/>
      <c r="T109" s="435"/>
      <c r="U109" s="435"/>
      <c r="V109" s="435"/>
      <c r="W109" s="435"/>
      <c r="X109" s="435"/>
      <c r="Y109" s="435"/>
      <c r="Z109" s="435"/>
      <c r="AA109" s="435"/>
      <c r="AB109" s="435"/>
    </row>
    <row r="110" spans="1:28">
      <c r="A110" s="412"/>
      <c r="B110" s="413"/>
      <c r="C110" s="413"/>
      <c r="D110" s="413"/>
      <c r="E110" s="413"/>
      <c r="F110" s="413"/>
      <c r="G110" s="413"/>
      <c r="H110" s="413"/>
      <c r="I110" s="413"/>
      <c r="J110" s="413"/>
      <c r="K110" s="413"/>
      <c r="L110" s="413"/>
      <c r="M110" s="413"/>
      <c r="N110" s="413"/>
      <c r="O110" s="413"/>
      <c r="P110" s="413"/>
      <c r="Q110" s="433"/>
      <c r="R110" s="435"/>
      <c r="S110" s="435"/>
      <c r="T110" s="435"/>
      <c r="U110" s="435"/>
      <c r="V110" s="435"/>
      <c r="W110" s="435"/>
      <c r="X110" s="435"/>
      <c r="Y110" s="435"/>
      <c r="Z110" s="435"/>
      <c r="AA110" s="435"/>
      <c r="AB110" s="435"/>
    </row>
    <row r="111" spans="1:28" ht="13.8" thickBot="1">
      <c r="A111" s="412"/>
      <c r="B111" s="412" t="str">
        <f>$F$33&amp;"の特定親族（６人目）"</f>
        <v>生計維持者１の特定親族（６人目）</v>
      </c>
      <c r="C111" s="413"/>
      <c r="D111" s="413"/>
      <c r="E111" s="413"/>
      <c r="F111" s="413"/>
      <c r="G111" s="413"/>
      <c r="H111" s="413"/>
      <c r="I111" s="412" t="str">
        <f>$L$33&amp;"の特定親族（６人目）"</f>
        <v>生計維持者２の特定親族（６人目）</v>
      </c>
      <c r="J111" s="413"/>
      <c r="K111" s="413"/>
      <c r="L111" s="412"/>
      <c r="M111" s="413"/>
      <c r="N111" s="413"/>
      <c r="O111" s="413"/>
      <c r="P111" s="413"/>
      <c r="Q111" s="433"/>
      <c r="R111" s="435"/>
      <c r="S111" s="435"/>
      <c r="T111" s="435"/>
      <c r="U111" s="435"/>
      <c r="V111" s="435"/>
      <c r="W111" s="435"/>
      <c r="X111" s="435"/>
      <c r="Y111" s="435"/>
      <c r="Z111" s="435"/>
      <c r="AA111" s="435"/>
      <c r="AB111" s="435"/>
    </row>
    <row r="112" spans="1:28" ht="13.8" thickBot="1">
      <c r="A112" s="412"/>
      <c r="B112" s="599" t="s">
        <v>217</v>
      </c>
      <c r="C112" s="600"/>
      <c r="D112" s="601"/>
      <c r="E112" s="414"/>
      <c r="F112" s="415" t="s">
        <v>49</v>
      </c>
      <c r="G112" s="412"/>
      <c r="H112" s="412"/>
      <c r="I112" s="412"/>
      <c r="J112" s="412"/>
      <c r="K112" s="412"/>
      <c r="L112" s="415" t="s">
        <v>49</v>
      </c>
      <c r="M112" s="412"/>
      <c r="N112" s="413"/>
      <c r="O112" s="413"/>
      <c r="P112" s="413"/>
      <c r="Q112" s="433"/>
      <c r="R112" s="435"/>
      <c r="S112" s="435"/>
      <c r="T112" s="435"/>
      <c r="U112" s="435"/>
      <c r="V112" s="435"/>
      <c r="W112" s="435"/>
      <c r="X112" s="435"/>
      <c r="Y112" s="435"/>
      <c r="Z112" s="435"/>
      <c r="AA112" s="435"/>
      <c r="AB112" s="435"/>
    </row>
    <row r="113" spans="1:28" ht="13.8" thickBot="1">
      <c r="A113" s="412"/>
      <c r="B113" s="599" t="s">
        <v>219</v>
      </c>
      <c r="C113" s="600"/>
      <c r="D113" s="601"/>
      <c r="E113" s="416"/>
      <c r="F113" s="417">
        <v>0</v>
      </c>
      <c r="G113" s="412" t="str">
        <f>MID(F112,SEARCH("(",F112)+1,3)</f>
        <v>JPY</v>
      </c>
      <c r="H113" s="413"/>
      <c r="I113" s="413"/>
      <c r="J113" s="413"/>
      <c r="K113" s="413"/>
      <c r="L113" s="417">
        <v>0</v>
      </c>
      <c r="M113" s="412" t="str">
        <f>MID(L112,SEARCH("(",L112)+1,3)</f>
        <v>JPY</v>
      </c>
      <c r="N113" s="413"/>
      <c r="O113" s="413"/>
      <c r="P113" s="413"/>
      <c r="Q113" s="433"/>
      <c r="R113" s="435"/>
      <c r="S113" s="435"/>
      <c r="T113" s="435"/>
      <c r="U113" s="435"/>
      <c r="V113" s="435"/>
      <c r="W113" s="435"/>
      <c r="X113" s="435"/>
      <c r="Y113" s="435"/>
      <c r="Z113" s="435"/>
      <c r="AA113" s="435"/>
      <c r="AB113" s="435"/>
    </row>
    <row r="114" spans="1:28" ht="13.8" thickBot="1">
      <c r="A114" s="412"/>
      <c r="B114" s="418" t="s">
        <v>959</v>
      </c>
      <c r="C114" s="419"/>
      <c r="D114" s="419"/>
      <c r="E114" s="420"/>
      <c r="F114" s="415" t="s">
        <v>49</v>
      </c>
      <c r="G114" s="412"/>
      <c r="H114" s="413"/>
      <c r="I114" s="413"/>
      <c r="J114" s="413"/>
      <c r="K114" s="413"/>
      <c r="L114" s="415" t="s">
        <v>49</v>
      </c>
      <c r="M114" s="421"/>
      <c r="N114" s="413"/>
      <c r="O114" s="413"/>
      <c r="P114" s="413"/>
      <c r="Q114" s="433"/>
      <c r="R114" s="435"/>
      <c r="S114" s="435"/>
      <c r="T114" s="435"/>
      <c r="U114" s="435"/>
      <c r="V114" s="435"/>
      <c r="W114" s="435"/>
      <c r="X114" s="435"/>
      <c r="Y114" s="435"/>
      <c r="Z114" s="435"/>
      <c r="AA114" s="435"/>
      <c r="AB114" s="435"/>
    </row>
    <row r="115" spans="1:28" ht="13.8" thickBot="1">
      <c r="A115" s="412"/>
      <c r="B115" s="422" t="s">
        <v>960</v>
      </c>
      <c r="C115" s="416"/>
      <c r="D115" s="423"/>
      <c r="E115" s="420"/>
      <c r="F115" s="417">
        <v>0</v>
      </c>
      <c r="G115" s="412" t="str">
        <f>MID(F114,SEARCH("(",F114)+1,3)</f>
        <v>JPY</v>
      </c>
      <c r="H115" s="413"/>
      <c r="I115" s="413"/>
      <c r="J115" s="413"/>
      <c r="K115" s="413"/>
      <c r="L115" s="417">
        <v>0</v>
      </c>
      <c r="M115" s="412" t="str">
        <f>MID(L114,SEARCH("(",L114)+1,3)</f>
        <v>JPY</v>
      </c>
      <c r="N115" s="413"/>
      <c r="O115" s="413"/>
      <c r="P115" s="413"/>
      <c r="Q115" s="433"/>
      <c r="R115" s="435"/>
      <c r="S115" s="435"/>
      <c r="T115" s="435"/>
      <c r="U115" s="435"/>
      <c r="V115" s="435"/>
      <c r="W115" s="435"/>
      <c r="X115" s="435"/>
      <c r="Y115" s="435"/>
      <c r="Z115" s="435"/>
      <c r="AA115" s="435"/>
      <c r="AB115" s="435"/>
    </row>
    <row r="116" spans="1:28">
      <c r="A116" s="412"/>
      <c r="B116" s="413"/>
      <c r="C116" s="413"/>
      <c r="D116" s="413"/>
      <c r="E116" s="413"/>
      <c r="F116" s="413"/>
      <c r="G116" s="413"/>
      <c r="H116" s="413"/>
      <c r="I116" s="413"/>
      <c r="J116" s="413"/>
      <c r="K116" s="413"/>
      <c r="L116" s="413"/>
      <c r="M116" s="413"/>
      <c r="N116" s="413"/>
      <c r="O116" s="413"/>
      <c r="P116" s="413"/>
      <c r="Q116" s="433"/>
      <c r="R116" s="435"/>
      <c r="S116" s="435"/>
      <c r="T116" s="435"/>
      <c r="U116" s="435"/>
      <c r="V116" s="435"/>
      <c r="W116" s="435"/>
      <c r="X116" s="435"/>
      <c r="Y116" s="435"/>
      <c r="Z116" s="435"/>
      <c r="AA116" s="435"/>
      <c r="AB116" s="435"/>
    </row>
    <row r="117" spans="1:28" ht="13.8" thickBot="1">
      <c r="A117" s="412"/>
      <c r="B117" s="412" t="str">
        <f>$F$33&amp;"の特定親族（７人目）"</f>
        <v>生計維持者１の特定親族（７人目）</v>
      </c>
      <c r="C117" s="413"/>
      <c r="D117" s="413"/>
      <c r="E117" s="413"/>
      <c r="F117" s="413"/>
      <c r="G117" s="413"/>
      <c r="H117" s="413"/>
      <c r="I117" s="412" t="str">
        <f>$L$33&amp;"の特定親族（７人目）"</f>
        <v>生計維持者２の特定親族（７人目）</v>
      </c>
      <c r="J117" s="413"/>
      <c r="K117" s="413"/>
      <c r="L117" s="412"/>
      <c r="M117" s="413"/>
      <c r="N117" s="413"/>
      <c r="O117" s="413"/>
      <c r="P117" s="413"/>
      <c r="Q117" s="433"/>
      <c r="R117" s="435"/>
      <c r="S117" s="435"/>
      <c r="T117" s="435"/>
      <c r="U117" s="435"/>
      <c r="V117" s="435"/>
      <c r="W117" s="435"/>
      <c r="X117" s="435"/>
      <c r="Y117" s="435"/>
      <c r="Z117" s="435"/>
      <c r="AA117" s="435"/>
      <c r="AB117" s="435"/>
    </row>
    <row r="118" spans="1:28" ht="13.8" thickBot="1">
      <c r="A118" s="412"/>
      <c r="B118" s="599" t="s">
        <v>217</v>
      </c>
      <c r="C118" s="600"/>
      <c r="D118" s="601"/>
      <c r="E118" s="414"/>
      <c r="F118" s="415" t="s">
        <v>49</v>
      </c>
      <c r="G118" s="412"/>
      <c r="H118" s="412"/>
      <c r="I118" s="412"/>
      <c r="J118" s="412"/>
      <c r="K118" s="412"/>
      <c r="L118" s="415" t="s">
        <v>49</v>
      </c>
      <c r="M118" s="412"/>
      <c r="N118" s="413"/>
      <c r="O118" s="413"/>
      <c r="P118" s="413"/>
      <c r="Q118" s="433"/>
      <c r="R118" s="435"/>
      <c r="S118" s="435"/>
      <c r="T118" s="435"/>
      <c r="U118" s="435"/>
      <c r="V118" s="435"/>
      <c r="W118" s="435"/>
      <c r="X118" s="435"/>
      <c r="Y118" s="435"/>
      <c r="Z118" s="435"/>
      <c r="AA118" s="435"/>
      <c r="AB118" s="435"/>
    </row>
    <row r="119" spans="1:28" ht="13.8" thickBot="1">
      <c r="A119" s="412"/>
      <c r="B119" s="599" t="s">
        <v>219</v>
      </c>
      <c r="C119" s="600"/>
      <c r="D119" s="601"/>
      <c r="E119" s="416"/>
      <c r="F119" s="417">
        <v>0</v>
      </c>
      <c r="G119" s="412" t="str">
        <f>MID(F118,SEARCH("(",F118)+1,3)</f>
        <v>JPY</v>
      </c>
      <c r="H119" s="413"/>
      <c r="I119" s="413"/>
      <c r="J119" s="413"/>
      <c r="K119" s="413"/>
      <c r="L119" s="417">
        <v>0</v>
      </c>
      <c r="M119" s="412" t="str">
        <f>MID(L118,SEARCH("(",L118)+1,3)</f>
        <v>JPY</v>
      </c>
      <c r="N119" s="413"/>
      <c r="O119" s="413"/>
      <c r="P119" s="413"/>
      <c r="Q119" s="433"/>
      <c r="R119" s="435"/>
      <c r="S119" s="435"/>
      <c r="T119" s="435"/>
      <c r="U119" s="435"/>
      <c r="V119" s="435"/>
      <c r="W119" s="435"/>
      <c r="X119" s="435"/>
      <c r="Y119" s="435"/>
      <c r="Z119" s="435"/>
      <c r="AA119" s="435"/>
      <c r="AB119" s="435"/>
    </row>
    <row r="120" spans="1:28" ht="13.8" thickBot="1">
      <c r="A120" s="412"/>
      <c r="B120" s="418" t="s">
        <v>959</v>
      </c>
      <c r="C120" s="419"/>
      <c r="D120" s="419"/>
      <c r="E120" s="420"/>
      <c r="F120" s="415" t="s">
        <v>49</v>
      </c>
      <c r="G120" s="412"/>
      <c r="H120" s="413"/>
      <c r="I120" s="413"/>
      <c r="J120" s="413"/>
      <c r="K120" s="413"/>
      <c r="L120" s="415" t="s">
        <v>49</v>
      </c>
      <c r="M120" s="421"/>
      <c r="N120" s="413"/>
      <c r="O120" s="413"/>
      <c r="P120" s="413"/>
      <c r="Q120" s="433"/>
      <c r="R120" s="435"/>
      <c r="S120" s="435"/>
      <c r="T120" s="435"/>
      <c r="U120" s="435"/>
      <c r="V120" s="435"/>
      <c r="W120" s="435"/>
      <c r="X120" s="435"/>
      <c r="Y120" s="435"/>
      <c r="Z120" s="435"/>
      <c r="AA120" s="435"/>
      <c r="AB120" s="435"/>
    </row>
    <row r="121" spans="1:28" ht="13.8" thickBot="1">
      <c r="A121" s="412"/>
      <c r="B121" s="422" t="s">
        <v>960</v>
      </c>
      <c r="C121" s="416"/>
      <c r="D121" s="423"/>
      <c r="E121" s="420"/>
      <c r="F121" s="417">
        <v>0</v>
      </c>
      <c r="G121" s="412" t="str">
        <f>MID(F120,SEARCH("(",F120)+1,3)</f>
        <v>JPY</v>
      </c>
      <c r="H121" s="413"/>
      <c r="I121" s="413"/>
      <c r="J121" s="413"/>
      <c r="K121" s="413"/>
      <c r="L121" s="417">
        <v>0</v>
      </c>
      <c r="M121" s="412" t="str">
        <f>MID(L120,SEARCH("(",L120)+1,3)</f>
        <v>JPY</v>
      </c>
      <c r="N121" s="413"/>
      <c r="O121" s="413"/>
      <c r="P121" s="413"/>
      <c r="Q121" s="433"/>
      <c r="R121" s="435"/>
      <c r="S121" s="435"/>
      <c r="T121" s="435"/>
      <c r="U121" s="435"/>
      <c r="V121" s="435"/>
      <c r="W121" s="435"/>
      <c r="X121" s="435"/>
      <c r="Y121" s="435"/>
      <c r="Z121" s="435"/>
      <c r="AA121" s="435"/>
      <c r="AB121" s="435"/>
    </row>
    <row r="122" spans="1:28">
      <c r="A122" s="412"/>
      <c r="B122" s="413"/>
      <c r="C122" s="413"/>
      <c r="D122" s="413"/>
      <c r="E122" s="413"/>
      <c r="F122" s="413"/>
      <c r="G122" s="413"/>
      <c r="H122" s="413"/>
      <c r="I122" s="413"/>
      <c r="J122" s="413"/>
      <c r="K122" s="413"/>
      <c r="L122" s="413"/>
      <c r="M122" s="413"/>
      <c r="N122" s="413"/>
      <c r="O122" s="413"/>
      <c r="P122" s="413"/>
      <c r="Q122" s="433"/>
      <c r="R122" s="435"/>
      <c r="S122" s="435"/>
      <c r="T122" s="435"/>
      <c r="U122" s="435"/>
      <c r="V122" s="435"/>
      <c r="W122" s="435"/>
      <c r="X122" s="435"/>
      <c r="Y122" s="435"/>
      <c r="Z122" s="435"/>
      <c r="AA122" s="435"/>
      <c r="AB122" s="435"/>
    </row>
    <row r="123" spans="1:28" ht="13.8" thickBot="1">
      <c r="A123" s="412"/>
      <c r="B123" s="412" t="str">
        <f>$F$33&amp;"の特定親族（８人目）"</f>
        <v>生計維持者１の特定親族（８人目）</v>
      </c>
      <c r="C123" s="413"/>
      <c r="D123" s="413"/>
      <c r="E123" s="413"/>
      <c r="F123" s="413"/>
      <c r="G123" s="413"/>
      <c r="H123" s="413"/>
      <c r="I123" s="412" t="str">
        <f>$L$33&amp;"の特定親族（８人目）"</f>
        <v>生計維持者２の特定親族（８人目）</v>
      </c>
      <c r="J123" s="413"/>
      <c r="K123" s="413"/>
      <c r="L123" s="412"/>
      <c r="M123" s="413"/>
      <c r="N123" s="413"/>
      <c r="O123" s="413"/>
      <c r="P123" s="413"/>
      <c r="Q123" s="433"/>
      <c r="R123" s="435"/>
      <c r="S123" s="435"/>
      <c r="T123" s="435"/>
      <c r="U123" s="435"/>
      <c r="V123" s="435"/>
      <c r="W123" s="435"/>
      <c r="X123" s="435"/>
      <c r="Y123" s="435"/>
      <c r="Z123" s="435"/>
      <c r="AA123" s="435"/>
      <c r="AB123" s="435"/>
    </row>
    <row r="124" spans="1:28" ht="13.8" thickBot="1">
      <c r="A124" s="412"/>
      <c r="B124" s="599" t="s">
        <v>217</v>
      </c>
      <c r="C124" s="600"/>
      <c r="D124" s="601"/>
      <c r="E124" s="414"/>
      <c r="F124" s="415" t="s">
        <v>49</v>
      </c>
      <c r="G124" s="412"/>
      <c r="H124" s="412"/>
      <c r="I124" s="412"/>
      <c r="J124" s="412"/>
      <c r="K124" s="412"/>
      <c r="L124" s="415" t="s">
        <v>49</v>
      </c>
      <c r="M124" s="412"/>
      <c r="N124" s="413"/>
      <c r="O124" s="413"/>
      <c r="P124" s="413"/>
      <c r="Q124" s="433"/>
      <c r="R124" s="435"/>
      <c r="S124" s="435"/>
      <c r="T124" s="435"/>
      <c r="U124" s="435"/>
      <c r="V124" s="435"/>
      <c r="W124" s="435"/>
      <c r="X124" s="435"/>
      <c r="Y124" s="435"/>
      <c r="Z124" s="435"/>
      <c r="AA124" s="435"/>
      <c r="AB124" s="435"/>
    </row>
    <row r="125" spans="1:28" ht="13.8" thickBot="1">
      <c r="A125" s="412"/>
      <c r="B125" s="599" t="s">
        <v>219</v>
      </c>
      <c r="C125" s="600"/>
      <c r="D125" s="601"/>
      <c r="E125" s="416"/>
      <c r="F125" s="417">
        <v>0</v>
      </c>
      <c r="G125" s="412" t="str">
        <f>MID(F124,SEARCH("(",F124)+1,3)</f>
        <v>JPY</v>
      </c>
      <c r="H125" s="413"/>
      <c r="I125" s="413"/>
      <c r="J125" s="413"/>
      <c r="K125" s="413"/>
      <c r="L125" s="417">
        <v>0</v>
      </c>
      <c r="M125" s="412" t="str">
        <f>MID(L124,SEARCH("(",L124)+1,3)</f>
        <v>JPY</v>
      </c>
      <c r="N125" s="413"/>
      <c r="O125" s="413"/>
      <c r="P125" s="413"/>
      <c r="Q125" s="433"/>
      <c r="R125" s="435"/>
      <c r="S125" s="435"/>
      <c r="T125" s="435"/>
      <c r="U125" s="435"/>
      <c r="V125" s="435"/>
      <c r="W125" s="435"/>
      <c r="X125" s="435"/>
      <c r="Y125" s="435"/>
      <c r="Z125" s="435"/>
      <c r="AA125" s="435"/>
      <c r="AB125" s="435"/>
    </row>
    <row r="126" spans="1:28" ht="13.8" thickBot="1">
      <c r="A126" s="412"/>
      <c r="B126" s="418" t="s">
        <v>959</v>
      </c>
      <c r="C126" s="419"/>
      <c r="D126" s="419"/>
      <c r="E126" s="420"/>
      <c r="F126" s="415" t="s">
        <v>49</v>
      </c>
      <c r="G126" s="412"/>
      <c r="H126" s="413"/>
      <c r="I126" s="413"/>
      <c r="J126" s="413"/>
      <c r="K126" s="413"/>
      <c r="L126" s="415" t="s">
        <v>49</v>
      </c>
      <c r="M126" s="421"/>
      <c r="N126" s="413"/>
      <c r="O126" s="413"/>
      <c r="P126" s="413"/>
      <c r="Q126" s="433"/>
      <c r="R126" s="435"/>
      <c r="S126" s="435"/>
      <c r="T126" s="435"/>
      <c r="U126" s="435"/>
      <c r="V126" s="435"/>
      <c r="W126" s="435"/>
      <c r="X126" s="435"/>
      <c r="Y126" s="435"/>
      <c r="Z126" s="435"/>
      <c r="AA126" s="435"/>
      <c r="AB126" s="435"/>
    </row>
    <row r="127" spans="1:28" ht="13.8" thickBot="1">
      <c r="A127" s="412"/>
      <c r="B127" s="422" t="s">
        <v>960</v>
      </c>
      <c r="C127" s="416"/>
      <c r="D127" s="423"/>
      <c r="E127" s="420"/>
      <c r="F127" s="417">
        <v>0</v>
      </c>
      <c r="G127" s="412" t="str">
        <f>MID(F126,SEARCH("(",F126)+1,3)</f>
        <v>JPY</v>
      </c>
      <c r="H127" s="413"/>
      <c r="I127" s="413"/>
      <c r="J127" s="413"/>
      <c r="K127" s="413"/>
      <c r="L127" s="417">
        <v>0</v>
      </c>
      <c r="M127" s="412" t="str">
        <f>MID(L126,SEARCH("(",L126)+1,3)</f>
        <v>JPY</v>
      </c>
      <c r="N127" s="413"/>
      <c r="O127" s="413"/>
      <c r="P127" s="413"/>
      <c r="Q127" s="433"/>
      <c r="R127" s="435"/>
      <c r="S127" s="435"/>
      <c r="T127" s="435"/>
      <c r="U127" s="435"/>
      <c r="V127" s="435"/>
      <c r="W127" s="435"/>
      <c r="X127" s="435"/>
      <c r="Y127" s="435"/>
      <c r="Z127" s="435"/>
      <c r="AA127" s="435"/>
      <c r="AB127" s="435"/>
    </row>
    <row r="128" spans="1:28">
      <c r="A128" s="412"/>
      <c r="B128" s="413"/>
      <c r="C128" s="413"/>
      <c r="D128" s="413"/>
      <c r="E128" s="413"/>
      <c r="F128" s="413"/>
      <c r="G128" s="413"/>
      <c r="H128" s="413"/>
      <c r="I128" s="413"/>
      <c r="J128" s="413"/>
      <c r="K128" s="413"/>
      <c r="L128" s="413"/>
      <c r="M128" s="413"/>
      <c r="N128" s="413"/>
      <c r="O128" s="413"/>
      <c r="P128" s="413"/>
      <c r="Q128" s="433"/>
      <c r="R128" s="435"/>
      <c r="S128" s="435"/>
      <c r="T128" s="435"/>
      <c r="U128" s="435"/>
      <c r="V128" s="435"/>
      <c r="W128" s="435"/>
      <c r="X128" s="435"/>
      <c r="Y128" s="435"/>
      <c r="Z128" s="435"/>
      <c r="AA128" s="435"/>
      <c r="AB128" s="435"/>
    </row>
    <row r="129" spans="1:28" ht="13.8" thickBot="1">
      <c r="A129" s="412"/>
      <c r="B129" s="412" t="str">
        <f>$F$33&amp;"の特定親族（９人目）"</f>
        <v>生計維持者１の特定親族（９人目）</v>
      </c>
      <c r="C129" s="413"/>
      <c r="D129" s="413"/>
      <c r="E129" s="413"/>
      <c r="F129" s="413"/>
      <c r="G129" s="413"/>
      <c r="H129" s="413"/>
      <c r="I129" s="412" t="str">
        <f>$L$33&amp;"の特定親族（９人目）"</f>
        <v>生計維持者２の特定親族（９人目）</v>
      </c>
      <c r="J129" s="413"/>
      <c r="K129" s="413"/>
      <c r="L129" s="412"/>
      <c r="M129" s="413"/>
      <c r="N129" s="413"/>
      <c r="O129" s="413"/>
      <c r="P129" s="413"/>
      <c r="Q129" s="433"/>
      <c r="R129" s="435"/>
      <c r="S129" s="435"/>
      <c r="T129" s="435"/>
      <c r="U129" s="435"/>
      <c r="V129" s="435"/>
      <c r="W129" s="435"/>
      <c r="X129" s="435"/>
      <c r="Y129" s="435"/>
      <c r="Z129" s="435"/>
      <c r="AA129" s="435"/>
      <c r="AB129" s="435"/>
    </row>
    <row r="130" spans="1:28" ht="13.8" thickBot="1">
      <c r="A130" s="412"/>
      <c r="B130" s="599" t="s">
        <v>217</v>
      </c>
      <c r="C130" s="600"/>
      <c r="D130" s="601"/>
      <c r="E130" s="414"/>
      <c r="F130" s="415" t="s">
        <v>49</v>
      </c>
      <c r="G130" s="412"/>
      <c r="H130" s="412"/>
      <c r="I130" s="412"/>
      <c r="J130" s="412"/>
      <c r="K130" s="412"/>
      <c r="L130" s="415" t="s">
        <v>49</v>
      </c>
      <c r="M130" s="412"/>
      <c r="N130" s="413"/>
      <c r="O130" s="413"/>
      <c r="P130" s="413"/>
      <c r="Q130" s="433"/>
      <c r="R130" s="435"/>
      <c r="S130" s="435"/>
      <c r="T130" s="435"/>
      <c r="U130" s="435"/>
      <c r="V130" s="435"/>
      <c r="W130" s="435"/>
      <c r="X130" s="435"/>
      <c r="Y130" s="435"/>
      <c r="Z130" s="435"/>
      <c r="AA130" s="435"/>
      <c r="AB130" s="435"/>
    </row>
    <row r="131" spans="1:28" ht="13.8" thickBot="1">
      <c r="A131" s="412"/>
      <c r="B131" s="599" t="s">
        <v>219</v>
      </c>
      <c r="C131" s="600"/>
      <c r="D131" s="601"/>
      <c r="E131" s="416"/>
      <c r="F131" s="417">
        <v>0</v>
      </c>
      <c r="G131" s="412" t="str">
        <f>MID(F130,SEARCH("(",F130)+1,3)</f>
        <v>JPY</v>
      </c>
      <c r="H131" s="413"/>
      <c r="I131" s="413"/>
      <c r="J131" s="413"/>
      <c r="K131" s="413"/>
      <c r="L131" s="417">
        <v>0</v>
      </c>
      <c r="M131" s="412" t="str">
        <f>MID(L130,SEARCH("(",L130)+1,3)</f>
        <v>JPY</v>
      </c>
      <c r="N131" s="413"/>
      <c r="O131" s="413"/>
      <c r="P131" s="413"/>
      <c r="Q131" s="433"/>
      <c r="R131" s="435"/>
      <c r="S131" s="435"/>
      <c r="T131" s="435"/>
      <c r="U131" s="435"/>
      <c r="V131" s="435"/>
      <c r="W131" s="435"/>
      <c r="X131" s="435"/>
      <c r="Y131" s="435"/>
      <c r="Z131" s="435"/>
      <c r="AA131" s="435"/>
      <c r="AB131" s="435"/>
    </row>
    <row r="132" spans="1:28" ht="13.8" thickBot="1">
      <c r="A132" s="412"/>
      <c r="B132" s="418" t="s">
        <v>959</v>
      </c>
      <c r="C132" s="419"/>
      <c r="D132" s="419"/>
      <c r="E132" s="420"/>
      <c r="F132" s="415" t="s">
        <v>49</v>
      </c>
      <c r="G132" s="412"/>
      <c r="H132" s="413"/>
      <c r="I132" s="413"/>
      <c r="J132" s="413"/>
      <c r="K132" s="413"/>
      <c r="L132" s="415" t="s">
        <v>49</v>
      </c>
      <c r="M132" s="421"/>
      <c r="N132" s="413"/>
      <c r="O132" s="413"/>
      <c r="P132" s="413"/>
      <c r="Q132" s="433"/>
      <c r="R132" s="435"/>
      <c r="S132" s="435"/>
      <c r="T132" s="435"/>
      <c r="U132" s="435"/>
      <c r="V132" s="435"/>
      <c r="W132" s="435"/>
      <c r="X132" s="435"/>
      <c r="Y132" s="435"/>
      <c r="Z132" s="435"/>
      <c r="AA132" s="435"/>
      <c r="AB132" s="435"/>
    </row>
    <row r="133" spans="1:28" ht="13.8" thickBot="1">
      <c r="A133" s="412"/>
      <c r="B133" s="422" t="s">
        <v>960</v>
      </c>
      <c r="C133" s="416"/>
      <c r="D133" s="423"/>
      <c r="E133" s="420"/>
      <c r="F133" s="417">
        <v>0</v>
      </c>
      <c r="G133" s="412" t="str">
        <f>MID(F132,SEARCH("(",F132)+1,3)</f>
        <v>JPY</v>
      </c>
      <c r="H133" s="413"/>
      <c r="I133" s="413"/>
      <c r="J133" s="413"/>
      <c r="K133" s="413"/>
      <c r="L133" s="417">
        <v>0</v>
      </c>
      <c r="M133" s="412" t="str">
        <f>MID(L132,SEARCH("(",L132)+1,3)</f>
        <v>JPY</v>
      </c>
      <c r="N133" s="413"/>
      <c r="O133" s="413"/>
      <c r="P133" s="413"/>
      <c r="Q133" s="433"/>
      <c r="R133" s="435"/>
      <c r="S133" s="435"/>
      <c r="T133" s="435"/>
      <c r="U133" s="435"/>
      <c r="V133" s="435"/>
      <c r="W133" s="435"/>
      <c r="X133" s="435"/>
      <c r="Y133" s="435"/>
      <c r="Z133" s="435"/>
      <c r="AA133" s="435"/>
      <c r="AB133" s="435"/>
    </row>
    <row r="134" spans="1:28">
      <c r="Q134" s="434"/>
      <c r="R134" s="435"/>
      <c r="S134" s="435"/>
      <c r="T134" s="435"/>
      <c r="U134" s="435"/>
      <c r="V134" s="435"/>
      <c r="W134" s="435"/>
      <c r="X134" s="435"/>
      <c r="Y134" s="435"/>
      <c r="Z134" s="435"/>
      <c r="AA134" s="435"/>
      <c r="AB134" s="435"/>
    </row>
  </sheetData>
  <sheetProtection algorithmName="SHA-512" hashValue="EvCm1c6+idvchrjif1hSYHdOzh/spmqJcxE7qGeQZpnCKoH1DrguoDMXyZSmE3nKsSNMj8hl0l8RPLOaf0HW/Q==" saltValue="cAM0Sf/2atPq8D7xsEjUQw==" spinCount="100000" sheet="1" objects="1" scenarios="1"/>
  <protectedRanges>
    <protectedRange sqref="D10:E18 F24:F31 F35:F40 H11:H12 F43:F48 F51:F53 L51:L53 L8:N8 H43:H48 H35:H40 L35:L39 L43:L48 I13:I14 N10:N14 L10:M12 G15:G18 N37 N44:N48 F55:F60 L55:L60 H55:H60 N55:N60" name="範囲1"/>
    <protectedRange sqref="F54" name="範囲1_1_1"/>
    <protectedRange sqref="L54" name="範囲1_2_1"/>
    <protectedRange sqref="L82:L85 F82:F85 F88:F91 F94:F97 F100:F103 F106:F109 F112:F115 F118:F121 F124:F127 F130:F133 L88:L91 L94:L97 L100:L103 L106:L109 L112:L115 L118:L121 L124:L127 L130:L133" name="範囲1_3"/>
  </protectedRanges>
  <mergeCells count="93">
    <mergeCell ref="B124:D124"/>
    <mergeCell ref="B125:D125"/>
    <mergeCell ref="B130:D130"/>
    <mergeCell ref="B131:D131"/>
    <mergeCell ref="R40:AB47"/>
    <mergeCell ref="R48:AB52"/>
    <mergeCell ref="R78:AB78"/>
    <mergeCell ref="R79:AB83"/>
    <mergeCell ref="R84:AB84"/>
    <mergeCell ref="R85:AB85"/>
    <mergeCell ref="R86:AB86"/>
    <mergeCell ref="B107:D107"/>
    <mergeCell ref="B112:D112"/>
    <mergeCell ref="B113:D113"/>
    <mergeCell ref="B118:D118"/>
    <mergeCell ref="B119:D119"/>
    <mergeCell ref="B94:D94"/>
    <mergeCell ref="B95:D95"/>
    <mergeCell ref="B100:D100"/>
    <mergeCell ref="B101:D101"/>
    <mergeCell ref="B106:D106"/>
    <mergeCell ref="A78:O78"/>
    <mergeCell ref="B82:D82"/>
    <mergeCell ref="B83:D83"/>
    <mergeCell ref="B88:D88"/>
    <mergeCell ref="B89:D89"/>
    <mergeCell ref="L9:N9"/>
    <mergeCell ref="A1:O1"/>
    <mergeCell ref="O2:Q3"/>
    <mergeCell ref="B5:O6"/>
    <mergeCell ref="H8:K8"/>
    <mergeCell ref="L8:N8"/>
    <mergeCell ref="H10:K10"/>
    <mergeCell ref="L10:N10"/>
    <mergeCell ref="D11:F11"/>
    <mergeCell ref="J11:N11"/>
    <mergeCell ref="D13:F13"/>
    <mergeCell ref="G13:H13"/>
    <mergeCell ref="I13:L13"/>
    <mergeCell ref="D15:F15"/>
    <mergeCell ref="G15:H15"/>
    <mergeCell ref="I15:J15"/>
    <mergeCell ref="D17:F17"/>
    <mergeCell ref="G17:H17"/>
    <mergeCell ref="I17:J17"/>
    <mergeCell ref="J29:M29"/>
    <mergeCell ref="K17:N17"/>
    <mergeCell ref="B23:D23"/>
    <mergeCell ref="B24:D24"/>
    <mergeCell ref="B25:D25"/>
    <mergeCell ref="B26:D26"/>
    <mergeCell ref="J26:M26"/>
    <mergeCell ref="B55:D55"/>
    <mergeCell ref="B56:D56"/>
    <mergeCell ref="B38:D38"/>
    <mergeCell ref="B39:D39"/>
    <mergeCell ref="B40:D40"/>
    <mergeCell ref="B43:D43"/>
    <mergeCell ref="B44:D44"/>
    <mergeCell ref="B45:D45"/>
    <mergeCell ref="B54:D54"/>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7:D57"/>
    <mergeCell ref="B58:D58"/>
    <mergeCell ref="B59:D59"/>
    <mergeCell ref="B60:D60"/>
    <mergeCell ref="I74:J74"/>
    <mergeCell ref="R68:AB71"/>
    <mergeCell ref="R72:AB73"/>
    <mergeCell ref="R30:AB33"/>
    <mergeCell ref="R53:AB58"/>
    <mergeCell ref="R4:AB7"/>
    <mergeCell ref="R8:AB9"/>
    <mergeCell ref="R20:AB24"/>
    <mergeCell ref="R59:AB62"/>
    <mergeCell ref="R64:AB67"/>
    <mergeCell ref="R15:AB19"/>
    <mergeCell ref="R10:AB14"/>
  </mergeCells>
  <phoneticPr fontId="2"/>
  <conditionalFormatting sqref="A81:G86">
    <cfRule type="expression" dxfId="85" priority="33">
      <formula>$F$54&lt;1</formula>
    </cfRule>
  </conditionalFormatting>
  <conditionalFormatting sqref="A87:G92">
    <cfRule type="expression" dxfId="84" priority="32">
      <formula>$F$54&lt;2</formula>
    </cfRule>
  </conditionalFormatting>
  <conditionalFormatting sqref="A93:G98">
    <cfRule type="expression" dxfId="83" priority="31">
      <formula>$F$54&lt;3</formula>
    </cfRule>
  </conditionalFormatting>
  <conditionalFormatting sqref="A99:G104">
    <cfRule type="expression" dxfId="82" priority="30">
      <formula>$F$54&lt;4</formula>
    </cfRule>
  </conditionalFormatting>
  <conditionalFormatting sqref="A105:G110">
    <cfRule type="expression" dxfId="81" priority="29">
      <formula>$F$54&lt;5</formula>
    </cfRule>
  </conditionalFormatting>
  <conditionalFormatting sqref="A111:G116">
    <cfRule type="expression" dxfId="80" priority="28">
      <formula>$F$54&lt;6</formula>
    </cfRule>
  </conditionalFormatting>
  <conditionalFormatting sqref="A117:G122">
    <cfRule type="expression" dxfId="79" priority="27">
      <formula>$F$54&lt;7</formula>
    </cfRule>
  </conditionalFormatting>
  <conditionalFormatting sqref="A123:G128">
    <cfRule type="expression" dxfId="78" priority="26">
      <formula>$F$54&lt;8</formula>
    </cfRule>
  </conditionalFormatting>
  <conditionalFormatting sqref="A129:G133">
    <cfRule type="expression" dxfId="77" priority="25">
      <formula>$F$54&lt;9</formula>
    </cfRule>
  </conditionalFormatting>
  <conditionalFormatting sqref="A78:Q80">
    <cfRule type="expression" dxfId="76" priority="2">
      <formula>$F$54+$L$54&lt;1</formula>
    </cfRule>
  </conditionalFormatting>
  <conditionalFormatting sqref="B26 E26:F26">
    <cfRule type="expression" dxfId="74" priority="64">
      <formula>$F$25&lt;&gt;"特別の障がい者である"</formula>
    </cfRule>
  </conditionalFormatting>
  <conditionalFormatting sqref="B28:B31 E28:G31">
    <cfRule type="expression" dxfId="73" priority="63">
      <formula>$F$27="いいえ"</formula>
    </cfRule>
  </conditionalFormatting>
  <conditionalFormatting sqref="B40 L40">
    <cfRule type="expression" dxfId="72" priority="60">
      <formula>$F$36="はい"</formula>
    </cfRule>
  </conditionalFormatting>
  <conditionalFormatting sqref="B87">
    <cfRule type="expression" dxfId="71" priority="22">
      <formula>$F$54&lt;1</formula>
    </cfRule>
  </conditionalFormatting>
  <conditionalFormatting sqref="B17:K17">
    <cfRule type="expression" dxfId="68" priority="44">
      <formula>$I$15="その他"</formula>
    </cfRule>
  </conditionalFormatting>
  <conditionalFormatting sqref="E37:I38">
    <cfRule type="expression" dxfId="64" priority="49">
      <formula>$F$36="いいえ"</formula>
    </cfRule>
  </conditionalFormatting>
  <conditionalFormatting sqref="E40:I40">
    <cfRule type="expression" dxfId="63" priority="48">
      <formula>$F$36="はい"</formula>
    </cfRule>
  </conditionalFormatting>
  <conditionalFormatting sqref="F76:F77">
    <cfRule type="expression" dxfId="61" priority="3">
      <formula>OR($F$36="いいえ",$F$37="いいえ")</formula>
    </cfRule>
  </conditionalFormatting>
  <conditionalFormatting sqref="H11">
    <cfRule type="expression" dxfId="55" priority="58">
      <formula>$C$11="申込受付番号"</formula>
    </cfRule>
  </conditionalFormatting>
  <conditionalFormatting sqref="H81:Q86">
    <cfRule type="expression" dxfId="53" priority="21">
      <formula>$L$54&lt;1</formula>
    </cfRule>
  </conditionalFormatting>
  <conditionalFormatting sqref="H87:Q92">
    <cfRule type="expression" dxfId="52" priority="20">
      <formula>$L$54&lt;2</formula>
    </cfRule>
  </conditionalFormatting>
  <conditionalFormatting sqref="H93:Q98">
    <cfRule type="expression" dxfId="51" priority="19">
      <formula>$L$54&lt;3</formula>
    </cfRule>
  </conditionalFormatting>
  <conditionalFormatting sqref="H99:Q104">
    <cfRule type="expression" dxfId="50" priority="18">
      <formula>$L$54&lt;4</formula>
    </cfRule>
  </conditionalFormatting>
  <conditionalFormatting sqref="H105:Q110">
    <cfRule type="expression" dxfId="49" priority="17">
      <formula>$L$54&lt;5</formula>
    </cfRule>
  </conditionalFormatting>
  <conditionalFormatting sqref="H111:Q116">
    <cfRule type="expression" dxfId="48" priority="16">
      <formula>$L$54&lt;6</formula>
    </cfRule>
  </conditionalFormatting>
  <conditionalFormatting sqref="H117:Q122">
    <cfRule type="expression" dxfId="47" priority="15">
      <formula>$L$54&lt;7</formula>
    </cfRule>
  </conditionalFormatting>
  <conditionalFormatting sqref="H123:Q128">
    <cfRule type="expression" dxfId="46" priority="14">
      <formula>$L$54&lt;8</formula>
    </cfRule>
  </conditionalFormatting>
  <conditionalFormatting sqref="H129:Q133">
    <cfRule type="expression" dxfId="45" priority="65">
      <formula>$L$54&lt;9</formula>
    </cfRule>
  </conditionalFormatting>
  <conditionalFormatting sqref="K54:L54">
    <cfRule type="expression" dxfId="34" priority="36">
      <formula>$L$33=""</formula>
    </cfRule>
  </conditionalFormatting>
  <conditionalFormatting sqref="K34:M40 B37:B38 K42:M48">
    <cfRule type="expression" dxfId="33" priority="61">
      <formula>$F$36="いいえ"</formula>
    </cfRule>
  </conditionalFormatting>
  <conditionalFormatting sqref="K51:M53 K55:M60">
    <cfRule type="expression" dxfId="32" priority="47">
      <formula>$F$36="いいえ"</formula>
    </cfRule>
  </conditionalFormatting>
  <conditionalFormatting sqref="L82:M85">
    <cfRule type="expression" dxfId="31" priority="66">
      <formula>$L$33=""</formula>
    </cfRule>
  </conditionalFormatting>
  <conditionalFormatting sqref="L75:O75 M76:O77">
    <cfRule type="expression" dxfId="30" priority="62">
      <formula>OR($F$36="いいえ",$F$37="いいえ")</formula>
    </cfRule>
  </conditionalFormatting>
  <conditionalFormatting sqref="M88 L89 M90 L91">
    <cfRule type="expression" dxfId="29" priority="67">
      <formula>$L$33=""</formula>
    </cfRule>
  </conditionalFormatting>
  <conditionalFormatting sqref="M94 L95 M96 L97">
    <cfRule type="expression" dxfId="28" priority="68">
      <formula>$L$33=""</formula>
    </cfRule>
  </conditionalFormatting>
  <conditionalFormatting sqref="M100 L101 M102 L103">
    <cfRule type="expression" dxfId="27" priority="69">
      <formula>$L$33=""</formula>
    </cfRule>
  </conditionalFormatting>
  <conditionalFormatting sqref="M106 L107 M108 L109">
    <cfRule type="expression" dxfId="26" priority="70">
      <formula>$L$33=""</formula>
    </cfRule>
  </conditionalFormatting>
  <conditionalFormatting sqref="M112 L113 M114 L115">
    <cfRule type="expression" dxfId="25" priority="71">
      <formula>$L$33=""</formula>
    </cfRule>
  </conditionalFormatting>
  <conditionalFormatting sqref="M118 L119 M120 L121">
    <cfRule type="expression" dxfId="24" priority="72">
      <formula>$L$33=""</formula>
    </cfRule>
  </conditionalFormatting>
  <conditionalFormatting sqref="M124 L125 M126 L127">
    <cfRule type="expression" dxfId="23" priority="73">
      <formula>$L$33=""</formula>
    </cfRule>
  </conditionalFormatting>
  <conditionalFormatting sqref="M130 L131 M132 L133">
    <cfRule type="expression" dxfId="22" priority="74">
      <formula>$L$33=""</formula>
    </cfRule>
  </conditionalFormatting>
  <conditionalFormatting sqref="N52:N54">
    <cfRule type="expression" dxfId="20" priority="34">
      <formula>$F$36="いいえ"</formula>
    </cfRule>
  </conditionalFormatting>
  <conditionalFormatting sqref="N55:O55">
    <cfRule type="expression" dxfId="19" priority="46">
      <formula>$F$36="いいえ"</formula>
    </cfRule>
  </conditionalFormatting>
  <conditionalFormatting sqref="O51:O54">
    <cfRule type="expression" dxfId="18" priority="37">
      <formula>$F$36="いいえ"</formula>
    </cfRule>
  </conditionalFormatting>
  <dataValidations count="7">
    <dataValidation type="decimal" allowBlank="1" showInputMessage="1" showErrorMessage="1" sqref="F29" xr:uid="{00000000-0002-0000-0100-000000000000}">
      <formula1>0</formula1>
      <formula2>9.99999999999999E+23</formula2>
    </dataValidation>
    <dataValidation type="whole" allowBlank="1" showInputMessage="1" showErrorMessage="1" sqref="D10:E10" xr:uid="{00000000-0002-0000-0100-000001000000}">
      <formula1>2000</formula1>
      <formula2>9999</formula2>
    </dataValidation>
    <dataValidation type="date" allowBlank="1" showInputMessage="1" showErrorMessage="1" sqref="N13:N14 I13:I14 L8" xr:uid="{00000000-0002-0000-0100-000002000000}">
      <formula1>1</formula1>
      <formula2>401404</formula2>
    </dataValidation>
    <dataValidation type="decimal" allowBlank="1" showInputMessage="1" showErrorMessage="1" sqref="H48 F31 N48 F48 L48" xr:uid="{00000000-0002-0000-0100-000003000000}">
      <formula1>-999999999999999000000</formula1>
      <formula2>999999999999999000000</formula2>
    </dataValidation>
    <dataValidation type="date" allowBlank="1" showInputMessage="1" showErrorMessage="1" sqref="H35 F35 L35" xr:uid="{00000000-0002-0000-0100-000004000000}">
      <formula1>1</formula1>
      <formula2>73051</formula2>
    </dataValidation>
    <dataValidation type="decimal" allowBlank="1" showInputMessage="1" showErrorMessage="1" sqref="H46 F44 H44 F46 L46 L44 N44:N47 H51 N51" xr:uid="{00000000-0002-0000-0100-000005000000}">
      <formula1>0</formula1>
      <formula2>999999999999999000000</formula2>
    </dataValidation>
    <dataValidation type="whole" allowBlank="1" showInputMessage="1" showErrorMessage="1" sqref="H57:H60 N57:N60 H55 N55 L51:L60 F51:F60" xr:uid="{00000000-0002-0000-0100-000006000000}">
      <formula1>0</formula1>
      <formula2>99</formula2>
    </dataValidation>
  </dataValidations>
  <printOptions horizontalCentered="1" verticalCentered="1"/>
  <pageMargins left="0.11811023622047245" right="0.11811023622047245" top="0.15748031496062992" bottom="0.15748031496062992" header="0" footer="0"/>
  <pageSetup paperSize="9" scale="37" orientation="landscape" r:id="rId1"/>
  <extLst>
    <ext xmlns:x14="http://schemas.microsoft.com/office/spreadsheetml/2009/9/main" uri="{78C0D931-6437-407d-A8EE-F0AAD7539E65}">
      <x14:conditionalFormattings>
        <x14:conditionalFormatting xmlns:xm="http://schemas.microsoft.com/office/excel/2006/main">
          <x14:cfRule type="expression" priority="50" id="{1D769EC6-5785-4462-9206-ED82F7EEAEA3}">
            <xm:f>計算シート!$C$69=1</xm:f>
            <x14:dxf>
              <font>
                <b/>
                <i val="0"/>
                <color auto="1"/>
              </font>
            </x14:dxf>
          </x14:cfRule>
          <xm:sqref>A22</xm:sqref>
        </x14:conditionalFormatting>
        <x14:conditionalFormatting xmlns:xm="http://schemas.microsoft.com/office/excel/2006/main">
          <x14:cfRule type="expression" priority="51" id="{BF44CD1D-1969-4FE1-AE93-5FCF4D70D0D9}">
            <xm:f>計算シート!$C$69=1</xm:f>
            <x14:dxf>
              <border>
                <left style="dotted">
                  <color auto="1"/>
                </left>
                <vertical/>
                <horizontal/>
              </border>
            </x14:dxf>
          </x14:cfRule>
          <xm:sqref>A22:A31</xm:sqref>
        </x14:conditionalFormatting>
        <x14:conditionalFormatting xmlns:xm="http://schemas.microsoft.com/office/excel/2006/main">
          <x14:cfRule type="expression" priority="52" id="{F9674204-EE13-464E-BBC3-2B0EEF31F62B}">
            <xm:f>計算シート!$C$69=1</xm:f>
            <x14:dxf>
              <border>
                <bottom style="dotted">
                  <color auto="1"/>
                </bottom>
                <vertical/>
                <horizontal/>
              </border>
            </x14:dxf>
          </x14:cfRule>
          <xm:sqref>A31:B31 E31:G31</xm:sqref>
        </x14:conditionalFormatting>
        <x14:conditionalFormatting xmlns:xm="http://schemas.microsoft.com/office/excel/2006/main">
          <x14:cfRule type="expression" priority="57" id="{5739785A-9029-45E6-B091-B846B5BCAE0B}">
            <xm:f>計算シート!$C$69=1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54" id="{14D21713-E15E-4A02-B0DB-78E8E6654C33}">
            <xm:f>計算シート!$C$69=1</xm:f>
            <x14:dxf>
              <border>
                <left/>
                <right/>
                <top style="dotted">
                  <color auto="1"/>
                </top>
                <bottom/>
                <vertical/>
                <horizontal/>
              </border>
            </x14:dxf>
          </x14:cfRule>
          <xm:sqref>A22:G22</xm:sqref>
        </x14:conditionalFormatting>
        <x14:conditionalFormatting xmlns:xm="http://schemas.microsoft.com/office/excel/2006/main">
          <x14:cfRule type="expression" priority="1" id="{7FDC061A-F6A7-4DCF-95F3-54BC57AE3D2C}">
            <xm:f>計算シート!$C$51=0</xm:f>
            <x14:dxf>
              <font>
                <color theme="0" tint="-4.9989318521683403E-2"/>
              </font>
              <fill>
                <patternFill>
                  <bgColor theme="0" tint="-4.9989318521683403E-2"/>
                </patternFill>
              </fill>
            </x14:dxf>
          </x14:cfRule>
          <xm:sqref>A78:Q133</xm:sqref>
        </x14:conditionalFormatting>
        <x14:conditionalFormatting xmlns:xm="http://schemas.microsoft.com/office/excel/2006/main">
          <x14:cfRule type="expression" priority="206" id="{3800B299-3AFC-446F-98D2-8E6ED4292544}">
            <xm:f>計算シート!C69=1</xm:f>
            <x14:dxf>
              <font>
                <color theme="0"/>
              </font>
              <border>
                <left/>
                <right/>
                <top/>
                <bottom/>
                <vertical/>
                <horizontal/>
              </border>
            </x14:dxf>
          </x14:cfRule>
          <xm:sqref>B17:C17</xm:sqref>
        </x14:conditionalFormatting>
        <x14:conditionalFormatting xmlns:xm="http://schemas.microsoft.com/office/excel/2006/main">
          <x14:cfRule type="expression" priority="35" id="{25B949DD-3771-4098-AB55-91A0AA956C71}">
            <xm:f>計算シート!$C$51=0</xm:f>
            <x14:dxf>
              <font>
                <color theme="0" tint="-4.9989318521683403E-2"/>
              </font>
              <fill>
                <patternFill>
                  <bgColor theme="0" tint="-4.9989318521683403E-2"/>
                </patternFill>
              </fill>
            </x14:dxf>
          </x14:cfRule>
          <xm:sqref>B54:G54 L54:M54</xm:sqref>
        </x14:conditionalFormatting>
        <x14:conditionalFormatting xmlns:xm="http://schemas.microsoft.com/office/excel/2006/main">
          <x14:cfRule type="expression" priority="38" id="{F93A7D6C-A937-4A63-A7BF-E47B5D0EF513}">
            <xm:f>OR($F$36="いいえ",計算シート!$C$69=1,$I$15="祖父",$I$15="祖母",$I$15="その他")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43" id="{3800B299-3AFC-446F-98D2-8E6ED4292544}">
            <xm:f>計算シート!E68=1</xm:f>
            <x14:dxf>
              <font>
                <color theme="0"/>
              </font>
              <border>
                <left/>
                <right/>
                <top/>
                <bottom/>
                <vertical/>
                <horizontal/>
              </border>
            </x14:dxf>
          </x14:cfRule>
          <x14:cfRule type="expression" priority="208" id="{0950B69D-53EE-401B-9621-D422311CCB96}">
            <xm:f>計算シート!C69=1</xm:f>
            <x14:dxf>
              <border>
                <bottom/>
                <vertical/>
                <horizontal/>
              </border>
            </x14:dxf>
          </x14:cfRule>
          <xm:sqref>D17:K17</xm:sqref>
        </x14:conditionalFormatting>
        <x14:conditionalFormatting xmlns:xm="http://schemas.microsoft.com/office/excel/2006/main">
          <x14:cfRule type="expression" priority="209" id="{0B27DCAB-37F1-4B0D-A2BB-2740B1E14400}">
            <xm:f>計算シート!C69=1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210" id="{07964E89-625D-4E41-86F0-70533987D1BE}">
            <xm:f>計算シート!C69=1</xm:f>
            <x14:dxf>
              <border>
                <bottom/>
                <vertical/>
                <horizontal/>
              </border>
            </x14:dxf>
          </x14:cfRule>
          <xm:sqref>G15:G16</xm:sqref>
        </x14:conditionalFormatting>
        <x14:conditionalFormatting xmlns:xm="http://schemas.microsoft.com/office/excel/2006/main">
          <x14:cfRule type="expression" priority="211" id="{C29E8BDD-4702-40CA-ACB1-6B1B5A63CF28}">
            <xm:f>計算シート!G68=1</xm:f>
            <x14:dxf>
              <border>
                <bottom/>
                <vertical/>
                <horizontal/>
              </border>
            </x14:dxf>
          </x14:cfRule>
          <x14:cfRule type="expression" priority="211" id="{054D28EB-D994-47F8-BB84-4A744ADD6F12}">
            <xm:f>計算シート!C70=1</xm:f>
            <x14:dxf>
              <border>
                <bottom/>
                <vertical/>
                <horizontal/>
              </border>
            </x14:dxf>
          </x14:cfRule>
          <xm:sqref>G17:G18</xm:sqref>
        </x14:conditionalFormatting>
        <x14:conditionalFormatting xmlns:xm="http://schemas.microsoft.com/office/excel/2006/main">
          <x14:cfRule type="expression" priority="53" id="{5968249E-9A33-43E5-A48D-D7F299B448E0}">
            <xm:f>計算シート!$C$69=1</xm:f>
            <x14:dxf>
              <border>
                <right style="dotted">
                  <color auto="1"/>
                </right>
                <vertical/>
                <horizontal/>
              </border>
            </x14:dxf>
          </x14:cfRule>
          <xm:sqref>G22:G31</xm:sqref>
        </x14:conditionalFormatting>
        <x14:conditionalFormatting xmlns:xm="http://schemas.microsoft.com/office/excel/2006/main">
          <x14:cfRule type="expression" priority="41" id="{775D9CEA-B4CB-4F3D-8845-22FA65C71457}">
            <xm:f>計算シート!C69=1</xm:f>
            <x14:dxf>
              <border>
                <left style="hair">
                  <color auto="1"/>
                </left>
                <vertical/>
                <horizontal/>
              </border>
            </x14:dxf>
          </x14:cfRule>
          <xm:sqref>G15:H15</xm:sqref>
        </x14:conditionalFormatting>
        <x14:conditionalFormatting xmlns:xm="http://schemas.microsoft.com/office/excel/2006/main">
          <x14:cfRule type="expression" priority="56" id="{D57BC46C-F4E8-4163-AE3C-12B425E6122D}">
            <xm:f>計算シート!D69=1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55" id="{70D2A2E9-635D-4996-877C-B20B895ABA14}">
            <xm:f>計算シート!C69=1</xm:f>
            <x14:dxf>
              <border>
                <bottom/>
                <vertical/>
                <horizontal/>
              </border>
            </x14:dxf>
          </x14:cfRule>
          <xm:sqref>I13:I14</xm:sqref>
        </x14:conditionalFormatting>
        <x14:conditionalFormatting xmlns:xm="http://schemas.microsoft.com/office/excel/2006/main">
          <x14:cfRule type="expression" priority="212" id="{1566225C-1C09-437F-99DD-EE91058CB03B}">
            <xm:f>計算シート!F68=1</xm:f>
            <x14:dxf>
              <border>
                <bottom/>
                <vertical/>
                <horizontal/>
              </border>
            </x14:dxf>
          </x14:cfRule>
          <x14:cfRule type="expression" priority="212" id="{E79BD7F4-0FAE-407B-AB5C-C00E1EF5C2D5}">
            <xm:f>計算シート!C70=1</xm:f>
            <x14:dxf>
              <border>
                <bottom/>
                <vertical/>
                <horizontal/>
              </border>
            </x14:dxf>
          </x14:cfRule>
          <xm:sqref>I15:I16</xm:sqref>
        </x14:conditionalFormatting>
        <x14:conditionalFormatting xmlns:xm="http://schemas.microsoft.com/office/excel/2006/main">
          <x14:cfRule type="expression" priority="255" id="{D6EE8BE7-C28C-4556-B4D0-1711221AED30}">
            <xm:f>計算シート!#REF!=1</xm:f>
            <x14:dxf>
              <border>
                <bottom/>
                <vertical/>
                <horizontal/>
              </border>
            </x14:dxf>
          </x14:cfRule>
          <x14:cfRule type="expression" priority="253" id="{9AC41BA2-6DC4-425D-827A-50F488BCE70F}">
            <xm:f>計算シート!J68=1</xm:f>
            <x14:dxf>
              <border>
                <bottom/>
                <vertical/>
                <horizontal/>
              </border>
            </x14:dxf>
          </x14:cfRule>
          <x14:cfRule type="expression" priority="254" id="{3AD5AC95-189C-4DA6-B526-A393EFD759C6}">
            <xm:f>計算シート!C71=1</xm:f>
            <x14:dxf>
              <border>
                <bottom/>
                <vertical/>
                <horizontal/>
              </border>
            </x14:dxf>
          </x14:cfRule>
          <xm:sqref>I17:I18</xm:sqref>
        </x14:conditionalFormatting>
        <x14:conditionalFormatting xmlns:xm="http://schemas.microsoft.com/office/excel/2006/main">
          <x14:cfRule type="expression" priority="216" id="{6DC2242B-64C2-418C-91FE-2CECB70148C1}">
            <xm:f>計算シート!C69=1</xm:f>
            <x14:dxf>
              <font>
                <color theme="0"/>
              </font>
              <border>
                <bottom style="hair">
                  <color auto="1"/>
                </bottom>
                <vertical/>
                <horizontal/>
              </border>
            </x14:dxf>
          </x14:cfRule>
          <xm:sqref>I13:L13</xm:sqref>
        </x14:conditionalFormatting>
        <x14:conditionalFormatting xmlns:xm="http://schemas.microsoft.com/office/excel/2006/main">
          <x14:cfRule type="expression" priority="217" id="{8CE80FD9-2880-47D1-B062-470F6ACF9EE8}">
            <xm:f>計算シート!C69=1</xm:f>
            <x14:dxf>
              <font>
                <color theme="0"/>
              </font>
              <border>
                <bottom style="hair">
                  <color auto="1"/>
                </bottom>
                <vertical/>
                <horizontal/>
              </border>
            </x14:dxf>
          </x14:cfRule>
          <xm:sqref>I17:L17</xm:sqref>
        </x14:conditionalFormatting>
        <x14:conditionalFormatting xmlns:xm="http://schemas.microsoft.com/office/excel/2006/main">
          <x14:cfRule type="expression" priority="218" id="{12AA7AED-0D78-4163-BE1F-4D0EC871F7AD}">
            <xm:f>計算シート!C69=1</xm:f>
            <x14:dxf>
              <font>
                <color theme="0"/>
              </font>
              <border>
                <left/>
                <right/>
                <top/>
                <bottom/>
                <vertical/>
                <horizontal/>
              </border>
            </x14:dxf>
          </x14:cfRule>
          <xm:sqref>I15:N15</xm:sqref>
        </x14:conditionalFormatting>
        <x14:conditionalFormatting xmlns:xm="http://schemas.microsoft.com/office/excel/2006/main">
          <x14:cfRule type="expression" priority="219" id="{550AABFD-FE51-403A-9E25-F659A07C3332}">
            <xm:f>計算シート!C72=1</xm:f>
            <x14:dxf>
              <border>
                <bottom/>
                <vertical/>
                <horizontal/>
              </border>
            </x14:dxf>
          </x14:cfRule>
          <xm:sqref>K19:L19</xm:sqref>
        </x14:conditionalFormatting>
        <x14:conditionalFormatting xmlns:xm="http://schemas.microsoft.com/office/excel/2006/main">
          <x14:cfRule type="expression" priority="220" id="{524DF34E-834F-4732-835D-922BD6D0BC14}">
            <xm:f>計算シート!E68=1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7000000}">
          <x14:formula1>
            <xm:f>計算シート!$F$24:$F$28</xm:f>
          </x14:formula1>
          <xm:sqref>I15:J15</xm:sqref>
        </x14:dataValidation>
        <x14:dataValidation type="list" allowBlank="1" showInputMessage="1" showErrorMessage="1" xr:uid="{00000000-0002-0000-0100-000008000000}">
          <x14:formula1>
            <xm:f>計算シート!$F$24:$F$29</xm:f>
          </x14:formula1>
          <xm:sqref>I18:J18 I16:J16</xm:sqref>
        </x14:dataValidation>
        <x14:dataValidation type="list" allowBlank="1" showInputMessage="1" showErrorMessage="1" xr:uid="{00000000-0002-0000-0100-000009000000}">
          <x14:formula1>
            <xm:f>計算シート!$F$24:$F$25</xm:f>
          </x14:formula1>
          <xm:sqref>I17:J17</xm:sqref>
        </x14:dataValidation>
        <x14:dataValidation type="list" allowBlank="1" showInputMessage="1" showErrorMessage="1" xr:uid="{00000000-0002-0000-0100-00000A000000}">
          <x14:formula1>
            <xm:f>計算シート!$F$11:$F$13</xm:f>
          </x14:formula1>
          <xm:sqref>F24</xm:sqref>
        </x14:dataValidation>
        <x14:dataValidation type="list" allowBlank="1" showInputMessage="1" showErrorMessage="1" xr:uid="{00000000-0002-0000-0100-00000B000000}">
          <x14:formula1>
            <xm:f>計算シート!$F$8:$F$10</xm:f>
          </x14:formula1>
          <xm:sqref>F40</xm:sqref>
        </x14:dataValidation>
        <x14:dataValidation type="list" allowBlank="1" showInputMessage="1" showErrorMessage="1" xr:uid="{00000000-0002-0000-0100-00000C000000}">
          <x14:formula1>
            <xm:f>計算シート!$F$3:$F$4</xm:f>
          </x14:formula1>
          <xm:sqref>F26:F27 F36 F38</xm:sqref>
        </x14:dataValidation>
        <x14:dataValidation type="list" allowBlank="1" showInputMessage="1" showErrorMessage="1" xr:uid="{00000000-0002-0000-0100-00000D000000}">
          <x14:formula1>
            <xm:f>計算シート!$F$15:$F$22</xm:f>
          </x14:formula1>
          <xm:sqref>L10</xm:sqref>
        </x14:dataValidation>
        <x14:dataValidation type="list" allowBlank="1" showInputMessage="1" showErrorMessage="1" xr:uid="{00000000-0002-0000-0100-00000E000000}">
          <x14:formula1>
            <xm:f>前年レート!$N$12:$N$74</xm:f>
          </x14:formula1>
          <xm:sqref>L47 F43 F47 F30 L43 F28 L45 F45 F82 F84 F88 F90 F94 F96 F100 F102 F106 F108 F112 F114 F118 F120 F124 F126 F130 F132 L88 L90 L94 L96 L100 L102 L106 L108 L112 L114 L118 L120 L124 L126 L130 L132</xm:sqref>
        </x14:dataValidation>
        <x14:dataValidation type="list" allowBlank="1" showInputMessage="1" showErrorMessage="1" xr:uid="{00000000-0002-0000-0100-00000F000000}">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4"/>
  <sheetViews>
    <sheetView view="pageBreakPreview" zoomScaleNormal="100" zoomScaleSheetLayoutView="100" workbookViewId="0">
      <selection activeCell="H41" sqref="H41"/>
    </sheetView>
  </sheetViews>
  <sheetFormatPr defaultColWidth="9" defaultRowHeight="13.2"/>
  <cols>
    <col min="1" max="1" width="3.109375" style="166" customWidth="1"/>
    <col min="2" max="2" width="34.6640625" style="166" customWidth="1"/>
    <col min="3" max="3" width="0.6640625" style="166" customWidth="1"/>
    <col min="4" max="4" width="16.6640625" style="166" customWidth="1"/>
    <col min="5" max="5" width="4.77734375" style="166" bestFit="1" customWidth="1"/>
    <col min="6" max="6" width="4.109375" style="166" customWidth="1"/>
    <col min="7" max="7" width="2.44140625" style="166" customWidth="1"/>
    <col min="8" max="8" width="16.6640625" style="166" customWidth="1"/>
    <col min="9" max="9" width="4.77734375" style="166" bestFit="1" customWidth="1"/>
    <col min="10" max="10" width="0.6640625" style="166" customWidth="1"/>
    <col min="11" max="11" width="4.88671875" style="166" customWidth="1"/>
    <col min="12" max="21" width="9" style="166"/>
    <col min="22" max="22" width="4.21875" style="166" customWidth="1"/>
    <col min="23" max="16384" width="9" style="166"/>
  </cols>
  <sheetData>
    <row r="1" spans="1:22">
      <c r="A1" s="611" t="s">
        <v>442</v>
      </c>
      <c r="B1" s="611"/>
      <c r="C1" s="611"/>
      <c r="D1" s="611"/>
      <c r="E1" s="611"/>
      <c r="F1" s="611"/>
      <c r="G1" s="611"/>
      <c r="H1" s="611"/>
      <c r="I1" s="611"/>
      <c r="K1" s="172"/>
      <c r="L1" s="611" t="s">
        <v>308</v>
      </c>
      <c r="M1" s="611"/>
      <c r="N1" s="611"/>
      <c r="O1" s="611"/>
      <c r="P1" s="611"/>
      <c r="Q1" s="611"/>
      <c r="R1" s="611"/>
      <c r="S1" s="611"/>
      <c r="T1" s="611"/>
      <c r="U1" s="611"/>
      <c r="V1" s="611"/>
    </row>
    <row r="2" spans="1:22" ht="6" customHeight="1">
      <c r="A2" s="173"/>
      <c r="B2" s="173"/>
      <c r="C2" s="173"/>
      <c r="D2" s="173"/>
      <c r="E2" s="173"/>
      <c r="F2" s="173"/>
      <c r="G2" s="173"/>
      <c r="H2" s="173"/>
      <c r="I2" s="173"/>
      <c r="K2" s="172"/>
    </row>
    <row r="3" spans="1:22">
      <c r="A3" s="174" t="s">
        <v>242</v>
      </c>
      <c r="C3" s="173"/>
      <c r="D3" s="173"/>
      <c r="E3" s="173"/>
      <c r="F3" s="173"/>
      <c r="G3" s="173"/>
      <c r="H3" s="173"/>
      <c r="I3" s="173"/>
      <c r="K3" s="172"/>
      <c r="L3" s="303" t="s">
        <v>487</v>
      </c>
      <c r="M3" s="148"/>
      <c r="N3" s="148"/>
      <c r="O3" s="148"/>
      <c r="P3" s="148"/>
      <c r="Q3" s="148"/>
      <c r="R3" s="148"/>
      <c r="S3" s="148"/>
      <c r="T3" s="148"/>
      <c r="U3" s="148"/>
      <c r="V3" s="148"/>
    </row>
    <row r="4" spans="1:22" ht="9.75" customHeight="1">
      <c r="A4" s="173"/>
      <c r="B4" s="174"/>
      <c r="C4" s="173"/>
      <c r="D4" s="173"/>
      <c r="E4" s="173"/>
      <c r="F4" s="173"/>
      <c r="G4" s="173"/>
      <c r="H4" s="173"/>
      <c r="I4" s="173"/>
      <c r="K4" s="172"/>
      <c r="L4" s="644" t="s">
        <v>486</v>
      </c>
      <c r="M4" s="645"/>
      <c r="N4" s="645"/>
      <c r="O4" s="645"/>
      <c r="P4" s="645"/>
      <c r="Q4" s="645"/>
      <c r="R4" s="645"/>
      <c r="S4" s="645"/>
      <c r="T4" s="645"/>
      <c r="U4" s="645"/>
      <c r="V4" s="645"/>
    </row>
    <row r="5" spans="1:22" ht="13.5" customHeight="1">
      <c r="A5" s="173"/>
      <c r="B5" s="637" t="s">
        <v>365</v>
      </c>
      <c r="C5" s="637"/>
      <c r="D5" s="637"/>
      <c r="E5" s="637"/>
      <c r="F5" s="637"/>
      <c r="G5" s="637"/>
      <c r="H5" s="637"/>
      <c r="I5" s="637"/>
      <c r="K5" s="172"/>
      <c r="L5" s="644"/>
      <c r="M5" s="645"/>
      <c r="N5" s="645"/>
      <c r="O5" s="645"/>
      <c r="P5" s="645"/>
      <c r="Q5" s="645"/>
      <c r="R5" s="645"/>
      <c r="S5" s="645"/>
      <c r="T5" s="645"/>
      <c r="U5" s="645"/>
      <c r="V5" s="645"/>
    </row>
    <row r="6" spans="1:22">
      <c r="A6" s="173"/>
      <c r="B6" s="637"/>
      <c r="C6" s="637"/>
      <c r="D6" s="637"/>
      <c r="E6" s="637"/>
      <c r="F6" s="637"/>
      <c r="G6" s="637"/>
      <c r="H6" s="637"/>
      <c r="I6" s="637"/>
      <c r="K6" s="172"/>
      <c r="L6" s="644"/>
      <c r="M6" s="645"/>
      <c r="N6" s="645"/>
      <c r="O6" s="645"/>
      <c r="P6" s="645"/>
      <c r="Q6" s="645"/>
      <c r="R6" s="645"/>
      <c r="S6" s="645"/>
      <c r="T6" s="645"/>
      <c r="U6" s="645"/>
      <c r="V6" s="645"/>
    </row>
    <row r="7" spans="1:22" ht="13.5" customHeight="1">
      <c r="A7" s="173"/>
      <c r="B7" s="175"/>
      <c r="C7" s="175"/>
      <c r="D7" s="175"/>
      <c r="E7" s="175"/>
      <c r="F7" s="175"/>
      <c r="G7" s="175"/>
      <c r="H7" s="175"/>
      <c r="I7" s="175"/>
      <c r="K7" s="172"/>
      <c r="L7" s="644" t="s">
        <v>340</v>
      </c>
      <c r="M7" s="645"/>
      <c r="N7" s="645"/>
      <c r="O7" s="645"/>
      <c r="P7" s="645"/>
      <c r="Q7" s="645"/>
      <c r="R7" s="645"/>
      <c r="S7" s="645"/>
      <c r="T7" s="645"/>
      <c r="U7" s="645"/>
      <c r="V7" s="645"/>
    </row>
    <row r="8" spans="1:22" ht="13.8" thickBot="1">
      <c r="A8" s="173"/>
      <c r="B8" s="175"/>
      <c r="C8" s="175"/>
      <c r="D8" s="175"/>
      <c r="E8" s="629" t="s">
        <v>331</v>
      </c>
      <c r="F8" s="629"/>
      <c r="G8" s="629"/>
      <c r="H8" s="176">
        <v>44044</v>
      </c>
      <c r="I8" s="175"/>
      <c r="K8" s="172"/>
      <c r="L8" s="644"/>
      <c r="M8" s="645"/>
      <c r="N8" s="645"/>
      <c r="O8" s="645"/>
      <c r="P8" s="645"/>
      <c r="Q8" s="645"/>
      <c r="R8" s="645"/>
      <c r="S8" s="645"/>
      <c r="T8" s="645"/>
      <c r="U8" s="645"/>
      <c r="V8" s="645"/>
    </row>
    <row r="9" spans="1:22" ht="13.5" customHeight="1">
      <c r="A9" s="173"/>
      <c r="B9" s="173"/>
      <c r="C9" s="173"/>
      <c r="D9" s="173"/>
      <c r="H9" s="177" t="s">
        <v>330</v>
      </c>
      <c r="I9" s="173"/>
      <c r="K9" s="172"/>
      <c r="L9" s="644" t="s">
        <v>364</v>
      </c>
      <c r="M9" s="645"/>
      <c r="N9" s="645"/>
      <c r="O9" s="645"/>
      <c r="P9" s="645"/>
      <c r="Q9" s="645"/>
      <c r="R9" s="645"/>
      <c r="S9" s="645"/>
      <c r="T9" s="645"/>
      <c r="U9" s="645"/>
      <c r="V9" s="645"/>
    </row>
    <row r="10" spans="1:22" ht="13.5" customHeight="1" thickBot="1">
      <c r="A10" s="173"/>
      <c r="B10" s="178" t="s">
        <v>349</v>
      </c>
      <c r="C10" s="173"/>
      <c r="D10" s="179">
        <v>2020</v>
      </c>
      <c r="E10" s="629" t="s">
        <v>346</v>
      </c>
      <c r="F10" s="629"/>
      <c r="G10" s="629"/>
      <c r="H10" s="180" t="s">
        <v>348</v>
      </c>
      <c r="I10" s="173"/>
      <c r="K10" s="172"/>
      <c r="L10" s="644"/>
      <c r="M10" s="645"/>
      <c r="N10" s="645"/>
      <c r="O10" s="645"/>
      <c r="P10" s="645"/>
      <c r="Q10" s="645"/>
      <c r="R10" s="645"/>
      <c r="S10" s="645"/>
      <c r="T10" s="645"/>
      <c r="U10" s="645"/>
      <c r="V10" s="645"/>
    </row>
    <row r="11" spans="1:22" ht="14.25" customHeight="1" thickBot="1">
      <c r="A11" s="173"/>
      <c r="B11" s="181" t="s">
        <v>366</v>
      </c>
      <c r="C11" s="182"/>
      <c r="D11" s="170"/>
      <c r="H11" s="171"/>
      <c r="I11" s="173"/>
      <c r="K11" s="172"/>
      <c r="L11" s="644"/>
      <c r="M11" s="645"/>
      <c r="N11" s="645"/>
      <c r="O11" s="645"/>
      <c r="P11" s="645"/>
      <c r="Q11" s="645"/>
      <c r="R11" s="645"/>
      <c r="S11" s="645"/>
      <c r="T11" s="645"/>
      <c r="U11" s="645"/>
      <c r="V11" s="645"/>
    </row>
    <row r="12" spans="1:22" ht="14.25" customHeight="1" thickBot="1">
      <c r="B12" s="181" t="s">
        <v>367</v>
      </c>
      <c r="C12" s="182"/>
      <c r="D12" s="182" t="s">
        <v>315</v>
      </c>
      <c r="E12" s="646" t="s">
        <v>332</v>
      </c>
      <c r="F12" s="646"/>
      <c r="G12" s="646"/>
      <c r="H12" s="176">
        <v>37072</v>
      </c>
      <c r="K12" s="172"/>
      <c r="L12" s="644" t="s">
        <v>361</v>
      </c>
      <c r="M12" s="645"/>
      <c r="N12" s="645"/>
      <c r="O12" s="645"/>
      <c r="P12" s="645"/>
      <c r="Q12" s="645"/>
      <c r="R12" s="645"/>
      <c r="S12" s="645"/>
      <c r="T12" s="645"/>
      <c r="U12" s="645"/>
      <c r="V12" s="645"/>
    </row>
    <row r="13" spans="1:22" ht="14.25" customHeight="1" thickBot="1">
      <c r="B13" s="178" t="s">
        <v>221</v>
      </c>
      <c r="C13" s="150"/>
      <c r="D13" s="150" t="s">
        <v>316</v>
      </c>
      <c r="H13" s="177" t="s">
        <v>330</v>
      </c>
      <c r="K13" s="172"/>
      <c r="L13" s="644"/>
      <c r="M13" s="645"/>
      <c r="N13" s="645"/>
      <c r="O13" s="645"/>
      <c r="P13" s="645"/>
      <c r="Q13" s="645"/>
      <c r="R13" s="645"/>
      <c r="S13" s="645"/>
      <c r="T13" s="645"/>
      <c r="U13" s="645"/>
      <c r="V13" s="645"/>
    </row>
    <row r="14" spans="1:22" ht="14.25" customHeight="1" thickBot="1">
      <c r="B14" s="178" t="s">
        <v>222</v>
      </c>
      <c r="C14" s="150"/>
      <c r="D14" s="150" t="s">
        <v>317</v>
      </c>
      <c r="E14" s="39"/>
      <c r="F14" s="39"/>
      <c r="G14" s="39"/>
      <c r="H14" s="39"/>
      <c r="K14" s="172"/>
      <c r="L14" s="644"/>
      <c r="M14" s="645"/>
      <c r="N14" s="645"/>
      <c r="O14" s="645"/>
      <c r="P14" s="645"/>
      <c r="Q14" s="645"/>
      <c r="R14" s="645"/>
      <c r="S14" s="645"/>
      <c r="T14" s="645"/>
      <c r="U14" s="645"/>
      <c r="V14" s="645"/>
    </row>
    <row r="15" spans="1:22">
      <c r="B15" s="174" t="str">
        <f>"※ 以下、収入（所得）は【"&amp;IF(計算シート!C50=1,計算シート!C48,計算シート!C49)&amp;"年1月1日～12月31日】のものを入力してください。"</f>
        <v>※ 以下、収入（所得）は【2025年1月1日～12月31日】のものを入力してください。</v>
      </c>
      <c r="E15" s="39"/>
      <c r="F15" s="39"/>
      <c r="G15" s="39"/>
      <c r="H15" s="39"/>
      <c r="K15" s="172"/>
      <c r="L15" s="644" t="s">
        <v>309</v>
      </c>
      <c r="M15" s="645"/>
      <c r="N15" s="645"/>
      <c r="O15" s="645"/>
      <c r="P15" s="645"/>
      <c r="Q15" s="645"/>
      <c r="R15" s="645"/>
      <c r="S15" s="645"/>
      <c r="T15" s="645"/>
      <c r="U15" s="645"/>
      <c r="V15" s="645"/>
    </row>
    <row r="16" spans="1:22">
      <c r="B16" s="174" t="str">
        <f>"    扶養等の情報は【"&amp;IF(計算シート!C50=1,計算シート!C48,計算シート!C49)&amp;"年12月31日】現在のものを入力してください。"</f>
        <v xml:space="preserve">    扶養等の情報は【2025年12月31日】現在のものを入力してください。</v>
      </c>
      <c r="E16" s="39"/>
      <c r="F16" s="39"/>
      <c r="G16" s="39"/>
      <c r="H16" s="39"/>
      <c r="K16" s="172"/>
      <c r="L16" s="644"/>
      <c r="M16" s="645"/>
      <c r="N16" s="645"/>
      <c r="O16" s="645"/>
      <c r="P16" s="645"/>
      <c r="Q16" s="645"/>
      <c r="R16" s="645"/>
      <c r="S16" s="645"/>
      <c r="T16" s="645"/>
      <c r="U16" s="645"/>
      <c r="V16" s="645"/>
    </row>
    <row r="17" spans="1:22" ht="7.5" customHeight="1" thickBot="1">
      <c r="A17" s="183"/>
      <c r="B17" s="183"/>
      <c r="C17" s="183"/>
      <c r="D17" s="183"/>
      <c r="E17" s="183"/>
      <c r="K17" s="172"/>
      <c r="L17" s="644"/>
      <c r="M17" s="645"/>
      <c r="N17" s="645"/>
      <c r="O17" s="645"/>
      <c r="P17" s="645"/>
      <c r="Q17" s="645"/>
      <c r="R17" s="645"/>
      <c r="S17" s="645"/>
      <c r="T17" s="645"/>
      <c r="U17" s="645"/>
      <c r="V17" s="645"/>
    </row>
    <row r="18" spans="1:22" s="187" customFormat="1" ht="15.6" customHeight="1" thickTop="1">
      <c r="A18" s="184" t="s">
        <v>360</v>
      </c>
      <c r="B18" s="185"/>
      <c r="C18" s="185"/>
      <c r="D18" s="185"/>
      <c r="E18" s="186"/>
      <c r="G18" s="188" t="s">
        <v>318</v>
      </c>
      <c r="H18" s="189"/>
      <c r="I18" s="186"/>
      <c r="K18" s="190"/>
      <c r="L18" s="644"/>
      <c r="M18" s="645"/>
      <c r="N18" s="645"/>
      <c r="O18" s="645"/>
      <c r="P18" s="645"/>
      <c r="Q18" s="645"/>
      <c r="R18" s="645"/>
      <c r="S18" s="645"/>
      <c r="T18" s="645"/>
      <c r="U18" s="645"/>
      <c r="V18" s="645"/>
    </row>
    <row r="19" spans="1:22" s="187" customFormat="1" ht="12.9" customHeight="1" thickBot="1">
      <c r="A19" s="191" t="s">
        <v>261</v>
      </c>
      <c r="B19" s="192" t="s">
        <v>352</v>
      </c>
      <c r="C19" s="300"/>
      <c r="D19" s="301">
        <f>H12</f>
        <v>37072</v>
      </c>
      <c r="E19" s="196"/>
      <c r="G19" s="195" t="s">
        <v>319</v>
      </c>
      <c r="H19" s="185"/>
      <c r="I19" s="196"/>
      <c r="K19" s="190"/>
      <c r="L19" s="302" t="s">
        <v>488</v>
      </c>
      <c r="M19" s="162"/>
      <c r="N19" s="162"/>
      <c r="O19" s="162"/>
      <c r="P19" s="162"/>
      <c r="Q19" s="162"/>
      <c r="R19" s="162"/>
      <c r="S19" s="162"/>
      <c r="T19" s="162"/>
      <c r="U19" s="162"/>
      <c r="V19" s="162"/>
    </row>
    <row r="20" spans="1:22" s="187" customFormat="1" ht="12.9" customHeight="1" thickBot="1">
      <c r="A20" s="197" t="s">
        <v>262</v>
      </c>
      <c r="B20" s="198" t="s">
        <v>238</v>
      </c>
      <c r="D20" s="199" t="s">
        <v>38</v>
      </c>
      <c r="E20" s="196"/>
      <c r="G20" s="195" t="s">
        <v>320</v>
      </c>
      <c r="H20" s="185"/>
      <c r="I20" s="196"/>
      <c r="K20" s="190"/>
      <c r="L20" s="211" t="s">
        <v>489</v>
      </c>
      <c r="M20" s="162"/>
      <c r="N20" s="162"/>
      <c r="O20" s="162"/>
      <c r="P20" s="162"/>
      <c r="Q20" s="162"/>
      <c r="R20" s="162"/>
      <c r="S20" s="162"/>
      <c r="T20" s="162"/>
      <c r="U20" s="162"/>
      <c r="V20" s="162"/>
    </row>
    <row r="21" spans="1:22" s="187" customFormat="1" ht="12.9" customHeight="1" thickBot="1">
      <c r="A21" s="197" t="s">
        <v>263</v>
      </c>
      <c r="B21" s="187" t="s">
        <v>239</v>
      </c>
      <c r="C21" s="200"/>
      <c r="D21" s="201" t="s">
        <v>211</v>
      </c>
      <c r="E21" s="196"/>
      <c r="G21" s="195" t="s">
        <v>321</v>
      </c>
      <c r="H21" s="185"/>
      <c r="I21" s="196"/>
      <c r="K21" s="190"/>
      <c r="L21" s="302" t="s">
        <v>490</v>
      </c>
      <c r="M21" s="162"/>
      <c r="N21" s="162"/>
      <c r="O21" s="162"/>
      <c r="P21" s="162"/>
      <c r="Q21" s="162"/>
      <c r="R21" s="162"/>
      <c r="S21" s="162"/>
      <c r="T21" s="162"/>
      <c r="U21" s="162"/>
      <c r="V21" s="162"/>
    </row>
    <row r="22" spans="1:22" s="187" customFormat="1" ht="12.9" customHeight="1" thickBot="1">
      <c r="A22" s="197" t="s">
        <v>264</v>
      </c>
      <c r="B22" s="202" t="s">
        <v>240</v>
      </c>
      <c r="C22" s="200"/>
      <c r="D22" s="203" t="s">
        <v>42</v>
      </c>
      <c r="E22" s="196"/>
      <c r="G22" s="204">
        <v>1</v>
      </c>
      <c r="H22" s="205" t="s">
        <v>322</v>
      </c>
      <c r="I22" s="206" t="s">
        <v>323</v>
      </c>
      <c r="K22" s="190"/>
      <c r="L22" s="302" t="s">
        <v>495</v>
      </c>
      <c r="M22" s="162"/>
      <c r="N22" s="162"/>
      <c r="O22" s="162"/>
      <c r="P22" s="162"/>
      <c r="Q22" s="162"/>
      <c r="R22" s="162"/>
      <c r="S22" s="162"/>
      <c r="T22" s="162"/>
      <c r="U22" s="162"/>
      <c r="V22" s="162"/>
    </row>
    <row r="23" spans="1:22" s="187" customFormat="1" ht="12.9" customHeight="1" thickBot="1">
      <c r="A23" s="197" t="s">
        <v>265</v>
      </c>
      <c r="B23" s="207" t="s">
        <v>368</v>
      </c>
      <c r="C23" s="208"/>
      <c r="D23" s="199" t="s">
        <v>40</v>
      </c>
      <c r="E23" s="196"/>
      <c r="G23" s="204">
        <v>2</v>
      </c>
      <c r="H23" s="209" t="s">
        <v>329</v>
      </c>
      <c r="I23" s="206" t="s">
        <v>445</v>
      </c>
      <c r="K23" s="190"/>
      <c r="L23" s="302" t="s">
        <v>491</v>
      </c>
      <c r="M23" s="162"/>
      <c r="N23" s="162"/>
      <c r="O23" s="162"/>
      <c r="P23" s="162"/>
      <c r="Q23" s="162"/>
      <c r="R23" s="162"/>
      <c r="S23" s="162"/>
      <c r="T23" s="162"/>
      <c r="U23" s="162"/>
      <c r="V23" s="162"/>
    </row>
    <row r="24" spans="1:22" s="187" customFormat="1" ht="12.9" customHeight="1" thickBot="1">
      <c r="A24" s="197" t="s">
        <v>266</v>
      </c>
      <c r="B24" s="192" t="s">
        <v>225</v>
      </c>
      <c r="C24" s="208"/>
      <c r="D24" s="203" t="s">
        <v>49</v>
      </c>
      <c r="E24" s="196"/>
      <c r="G24" s="204">
        <v>3</v>
      </c>
      <c r="H24" s="205" t="s">
        <v>328</v>
      </c>
      <c r="I24" s="206" t="s">
        <v>445</v>
      </c>
      <c r="K24" s="190"/>
      <c r="L24" s="644" t="s">
        <v>496</v>
      </c>
      <c r="M24" s="645"/>
      <c r="N24" s="645"/>
      <c r="O24" s="645"/>
      <c r="P24" s="645"/>
      <c r="Q24" s="645"/>
      <c r="R24" s="645"/>
      <c r="S24" s="645"/>
      <c r="T24" s="645"/>
      <c r="U24" s="645"/>
      <c r="V24" s="645"/>
    </row>
    <row r="25" spans="1:22" s="187" customFormat="1" ht="12.9" customHeight="1" thickBot="1">
      <c r="A25" s="197" t="s">
        <v>267</v>
      </c>
      <c r="B25" s="187" t="s">
        <v>226</v>
      </c>
      <c r="D25" s="210">
        <v>0</v>
      </c>
      <c r="E25" s="194" t="s">
        <v>446</v>
      </c>
      <c r="G25" s="204">
        <v>4</v>
      </c>
      <c r="H25" s="205" t="s">
        <v>327</v>
      </c>
      <c r="I25" s="206" t="s">
        <v>447</v>
      </c>
      <c r="K25" s="190"/>
      <c r="L25" s="644"/>
      <c r="M25" s="645"/>
      <c r="N25" s="645"/>
      <c r="O25" s="645"/>
      <c r="P25" s="645"/>
      <c r="Q25" s="645"/>
      <c r="R25" s="645"/>
      <c r="S25" s="645"/>
      <c r="T25" s="645"/>
      <c r="U25" s="645"/>
      <c r="V25" s="645"/>
    </row>
    <row r="26" spans="1:22" s="187" customFormat="1" ht="12.9" customHeight="1" thickBot="1">
      <c r="A26" s="197" t="s">
        <v>268</v>
      </c>
      <c r="B26" s="212" t="s">
        <v>250</v>
      </c>
      <c r="C26" s="208"/>
      <c r="D26" s="203" t="s">
        <v>49</v>
      </c>
      <c r="E26" s="196"/>
      <c r="G26" s="204">
        <v>5</v>
      </c>
      <c r="H26" s="205" t="s">
        <v>326</v>
      </c>
      <c r="I26" s="206" t="s">
        <v>445</v>
      </c>
      <c r="K26" s="190"/>
      <c r="L26" s="644"/>
      <c r="M26" s="645"/>
      <c r="N26" s="645"/>
      <c r="O26" s="645"/>
      <c r="P26" s="645"/>
      <c r="Q26" s="645"/>
      <c r="R26" s="645"/>
      <c r="S26" s="645"/>
      <c r="T26" s="645"/>
      <c r="U26" s="645"/>
      <c r="V26" s="645"/>
    </row>
    <row r="27" spans="1:22" s="187" customFormat="1" ht="12.9" customHeight="1" thickBot="1">
      <c r="A27" s="213" t="s">
        <v>269</v>
      </c>
      <c r="B27" s="214" t="s">
        <v>251</v>
      </c>
      <c r="C27" s="215"/>
      <c r="D27" s="210">
        <v>0</v>
      </c>
      <c r="E27" s="216" t="s">
        <v>446</v>
      </c>
      <c r="G27" s="217"/>
      <c r="H27" s="218"/>
      <c r="I27" s="219"/>
      <c r="K27" s="190"/>
      <c r="L27" s="644"/>
      <c r="M27" s="645"/>
      <c r="N27" s="645"/>
      <c r="O27" s="645"/>
      <c r="P27" s="645"/>
      <c r="Q27" s="645"/>
      <c r="R27" s="645"/>
      <c r="S27" s="645"/>
      <c r="T27" s="645"/>
      <c r="U27" s="645"/>
      <c r="V27" s="645"/>
    </row>
    <row r="28" spans="1:22" s="187" customFormat="1" ht="3" customHeight="1" thickTop="1">
      <c r="K28" s="190"/>
      <c r="L28" s="220"/>
      <c r="M28" s="148"/>
      <c r="N28" s="148"/>
      <c r="O28" s="148"/>
      <c r="P28" s="148"/>
      <c r="Q28" s="148"/>
      <c r="R28" s="148"/>
      <c r="S28" s="148"/>
      <c r="T28" s="148"/>
      <c r="U28" s="148"/>
      <c r="V28" s="148"/>
    </row>
    <row r="29" spans="1:22" s="187" customFormat="1" ht="14.1" customHeight="1" thickBot="1">
      <c r="A29" s="221"/>
      <c r="B29" s="221"/>
      <c r="C29" s="222"/>
      <c r="D29" s="223" t="s">
        <v>38</v>
      </c>
      <c r="E29" s="224"/>
      <c r="F29" s="221"/>
      <c r="G29" s="222"/>
      <c r="H29" s="225" t="s">
        <v>448</v>
      </c>
      <c r="I29" s="226"/>
      <c r="J29" s="227"/>
      <c r="K29" s="190"/>
      <c r="L29" s="220"/>
      <c r="M29" s="220"/>
      <c r="N29" s="148"/>
      <c r="O29" s="148"/>
      <c r="P29" s="148"/>
      <c r="Q29" s="148"/>
      <c r="R29" s="148"/>
      <c r="S29" s="148"/>
      <c r="T29" s="148"/>
      <c r="U29" s="148"/>
      <c r="V29" s="148"/>
    </row>
    <row r="30" spans="1:22" s="187" customFormat="1" ht="15.6" customHeight="1" thickTop="1" thickBot="1">
      <c r="A30" s="188" t="s">
        <v>227</v>
      </c>
      <c r="B30" s="185"/>
      <c r="C30" s="228"/>
      <c r="D30" s="185"/>
      <c r="E30" s="229"/>
      <c r="F30" s="185"/>
      <c r="G30" s="228"/>
      <c r="H30" s="230" t="s">
        <v>447</v>
      </c>
      <c r="I30" s="186"/>
      <c r="J30" s="231"/>
      <c r="K30" s="190"/>
      <c r="M30" s="220"/>
      <c r="N30" s="148"/>
      <c r="O30" s="148"/>
      <c r="P30" s="148"/>
      <c r="Q30" s="148"/>
      <c r="R30" s="148"/>
      <c r="S30" s="148"/>
      <c r="T30" s="148"/>
      <c r="U30" s="148"/>
      <c r="V30" s="148"/>
    </row>
    <row r="31" spans="1:22" s="187" customFormat="1" ht="12.9" customHeight="1" thickBot="1">
      <c r="A31" s="232" t="s">
        <v>270</v>
      </c>
      <c r="B31" s="192" t="s">
        <v>351</v>
      </c>
      <c r="C31" s="233"/>
      <c r="D31" s="193">
        <v>22037</v>
      </c>
      <c r="E31" s="231"/>
      <c r="F31" s="234" t="s">
        <v>276</v>
      </c>
      <c r="G31" s="228"/>
      <c r="H31" s="193">
        <v>22037</v>
      </c>
      <c r="I31" s="194"/>
      <c r="J31" s="231"/>
      <c r="K31" s="190"/>
      <c r="L31" s="220"/>
      <c r="M31" s="220"/>
      <c r="N31" s="148"/>
      <c r="O31" s="148"/>
      <c r="P31" s="148"/>
      <c r="Q31" s="148"/>
      <c r="R31" s="148"/>
      <c r="S31" s="148"/>
      <c r="T31" s="148"/>
      <c r="U31" s="148"/>
      <c r="V31" s="148"/>
    </row>
    <row r="32" spans="1:22" s="187" customFormat="1" ht="12.9" customHeight="1" thickBot="1">
      <c r="A32" s="235" t="s">
        <v>271</v>
      </c>
      <c r="B32" s="192" t="s">
        <v>254</v>
      </c>
      <c r="C32" s="233"/>
      <c r="D32" s="199" t="s">
        <v>40</v>
      </c>
      <c r="E32" s="229"/>
      <c r="F32" s="236"/>
      <c r="G32" s="228"/>
      <c r="H32" s="237"/>
      <c r="I32" s="196"/>
      <c r="J32" s="231"/>
      <c r="K32" s="190"/>
      <c r="L32" s="644" t="s">
        <v>362</v>
      </c>
      <c r="M32" s="645"/>
      <c r="N32" s="645"/>
      <c r="O32" s="645"/>
      <c r="P32" s="645"/>
      <c r="Q32" s="645"/>
      <c r="R32" s="645"/>
      <c r="S32" s="645"/>
      <c r="T32" s="645"/>
      <c r="U32" s="645"/>
      <c r="V32" s="645"/>
    </row>
    <row r="33" spans="1:22" s="187" customFormat="1" ht="12.9" customHeight="1" thickBot="1">
      <c r="A33" s="235" t="s">
        <v>272</v>
      </c>
      <c r="B33" s="192" t="s">
        <v>369</v>
      </c>
      <c r="C33" s="233"/>
      <c r="D33" s="199" t="s">
        <v>40</v>
      </c>
      <c r="E33" s="229"/>
      <c r="F33" s="236"/>
      <c r="G33" s="228"/>
      <c r="H33" s="237"/>
      <c r="I33" s="196"/>
      <c r="J33" s="231"/>
      <c r="K33" s="190"/>
      <c r="L33" s="644"/>
      <c r="M33" s="645"/>
      <c r="N33" s="645"/>
      <c r="O33" s="645"/>
      <c r="P33" s="645"/>
      <c r="Q33" s="645"/>
      <c r="R33" s="645"/>
      <c r="S33" s="645"/>
      <c r="T33" s="645"/>
      <c r="U33" s="645"/>
      <c r="V33" s="645"/>
    </row>
    <row r="34" spans="1:22" s="187" customFormat="1" ht="12.9" customHeight="1" thickBot="1">
      <c r="A34" s="235" t="s">
        <v>273</v>
      </c>
      <c r="B34" s="198" t="s">
        <v>257</v>
      </c>
      <c r="C34" s="238"/>
      <c r="D34" s="199" t="s">
        <v>40</v>
      </c>
      <c r="E34" s="229"/>
      <c r="F34" s="236"/>
      <c r="G34" s="228"/>
      <c r="H34" s="185"/>
      <c r="I34" s="196"/>
      <c r="J34" s="231"/>
      <c r="K34" s="190"/>
      <c r="L34" s="644"/>
      <c r="M34" s="645"/>
      <c r="N34" s="645"/>
      <c r="O34" s="645"/>
      <c r="P34" s="645"/>
      <c r="Q34" s="645"/>
      <c r="R34" s="645"/>
      <c r="S34" s="645"/>
      <c r="T34" s="645"/>
      <c r="U34" s="645"/>
      <c r="V34" s="645"/>
    </row>
    <row r="35" spans="1:22" s="187" customFormat="1" ht="12.9" customHeight="1" thickBot="1">
      <c r="A35" s="235" t="s">
        <v>274</v>
      </c>
      <c r="B35" s="192" t="s">
        <v>239</v>
      </c>
      <c r="C35" s="233"/>
      <c r="D35" s="239" t="s">
        <v>44</v>
      </c>
      <c r="E35" s="229"/>
      <c r="F35" s="240" t="s">
        <v>277</v>
      </c>
      <c r="G35" s="228"/>
      <c r="H35" s="239" t="s">
        <v>44</v>
      </c>
      <c r="I35" s="196"/>
      <c r="J35" s="231"/>
      <c r="K35" s="190"/>
      <c r="L35" s="220" t="s">
        <v>313</v>
      </c>
      <c r="M35" s="220"/>
      <c r="N35" s="220"/>
      <c r="O35" s="220"/>
      <c r="P35" s="220"/>
      <c r="Q35" s="220"/>
      <c r="R35" s="220"/>
      <c r="S35" s="220"/>
      <c r="T35" s="220"/>
      <c r="U35" s="220"/>
      <c r="V35" s="220"/>
    </row>
    <row r="36" spans="1:22" s="187" customFormat="1" ht="12.9" customHeight="1" thickBot="1">
      <c r="A36" s="241" t="s">
        <v>275</v>
      </c>
      <c r="B36" s="214" t="str">
        <f>IF(計算シート!C51=0,"寡婦または寡夫ですか","ひとり親ですか")</f>
        <v>ひとり親ですか</v>
      </c>
      <c r="C36" s="242"/>
      <c r="D36" s="239" t="s">
        <v>46</v>
      </c>
      <c r="E36" s="243"/>
      <c r="F36" s="218"/>
      <c r="G36" s="244"/>
      <c r="H36" s="245"/>
      <c r="I36" s="219"/>
      <c r="J36" s="231"/>
      <c r="K36" s="190"/>
      <c r="L36" s="220" t="s">
        <v>497</v>
      </c>
      <c r="M36" s="220"/>
      <c r="N36" s="220"/>
      <c r="O36" s="220"/>
      <c r="P36" s="220"/>
      <c r="Q36" s="220"/>
      <c r="R36" s="220"/>
      <c r="S36" s="220"/>
      <c r="T36" s="220"/>
      <c r="U36" s="220"/>
      <c r="V36" s="220"/>
    </row>
    <row r="37" spans="1:22" s="253" customFormat="1" ht="11.25" customHeight="1" thickTop="1" thickBot="1">
      <c r="A37" s="246" t="s">
        <v>451</v>
      </c>
      <c r="B37" s="247"/>
      <c r="C37" s="248"/>
      <c r="D37" s="247"/>
      <c r="E37" s="249"/>
      <c r="F37" s="247"/>
      <c r="G37" s="248"/>
      <c r="H37" s="250"/>
      <c r="I37" s="247"/>
      <c r="J37" s="251"/>
      <c r="K37" s="252"/>
      <c r="L37" s="220"/>
      <c r="M37" s="220"/>
      <c r="N37" s="220"/>
      <c r="O37" s="220"/>
      <c r="P37" s="220"/>
      <c r="Q37" s="220"/>
      <c r="R37" s="220"/>
      <c r="S37" s="220"/>
      <c r="T37" s="220"/>
      <c r="U37" s="220"/>
      <c r="V37" s="220"/>
    </row>
    <row r="38" spans="1:22" s="187" customFormat="1" ht="15.6" customHeight="1" thickTop="1" thickBot="1">
      <c r="A38" s="188" t="s">
        <v>228</v>
      </c>
      <c r="B38" s="185"/>
      <c r="C38" s="228"/>
      <c r="D38" s="185"/>
      <c r="E38" s="229"/>
      <c r="F38" s="185"/>
      <c r="G38" s="228"/>
      <c r="H38" s="230" t="s">
        <v>447</v>
      </c>
      <c r="I38" s="186"/>
      <c r="J38" s="231"/>
      <c r="K38" s="190"/>
      <c r="L38" s="644" t="s">
        <v>370</v>
      </c>
      <c r="M38" s="645"/>
      <c r="N38" s="645"/>
      <c r="O38" s="645"/>
      <c r="P38" s="645"/>
      <c r="Q38" s="645"/>
      <c r="R38" s="645"/>
      <c r="S38" s="645"/>
      <c r="T38" s="645"/>
      <c r="U38" s="645"/>
      <c r="V38" s="645"/>
    </row>
    <row r="39" spans="1:22" s="187" customFormat="1" ht="12.9" customHeight="1" thickBot="1">
      <c r="A39" s="232" t="s">
        <v>278</v>
      </c>
      <c r="B39" s="192" t="s">
        <v>217</v>
      </c>
      <c r="C39" s="233"/>
      <c r="D39" s="203" t="s">
        <v>310</v>
      </c>
      <c r="E39" s="229"/>
      <c r="F39" s="234" t="s">
        <v>284</v>
      </c>
      <c r="G39" s="228"/>
      <c r="H39" s="203" t="s">
        <v>49</v>
      </c>
      <c r="I39" s="196"/>
      <c r="J39" s="231"/>
      <c r="K39" s="190"/>
      <c r="L39" s="644"/>
      <c r="M39" s="645"/>
      <c r="N39" s="645"/>
      <c r="O39" s="645"/>
      <c r="P39" s="645"/>
      <c r="Q39" s="645"/>
      <c r="R39" s="645"/>
      <c r="S39" s="645"/>
      <c r="T39" s="645"/>
      <c r="U39" s="645"/>
      <c r="V39" s="645"/>
    </row>
    <row r="40" spans="1:22" s="187" customFormat="1" ht="12.9" customHeight="1" thickBot="1">
      <c r="A40" s="235" t="s">
        <v>279</v>
      </c>
      <c r="B40" s="192" t="s">
        <v>219</v>
      </c>
      <c r="C40" s="233"/>
      <c r="D40" s="210">
        <v>42000</v>
      </c>
      <c r="E40" s="231" t="s">
        <v>450</v>
      </c>
      <c r="F40" s="240" t="s">
        <v>285</v>
      </c>
      <c r="G40" s="228"/>
      <c r="H40" s="210">
        <v>2700000</v>
      </c>
      <c r="I40" s="194" t="s">
        <v>446</v>
      </c>
      <c r="J40" s="231"/>
      <c r="K40" s="190"/>
      <c r="L40" s="644"/>
      <c r="M40" s="645"/>
      <c r="N40" s="645"/>
      <c r="O40" s="645"/>
      <c r="P40" s="645"/>
      <c r="Q40" s="645"/>
      <c r="R40" s="645"/>
      <c r="S40" s="645"/>
      <c r="T40" s="645"/>
      <c r="U40" s="645"/>
      <c r="V40" s="645"/>
    </row>
    <row r="41" spans="1:22" s="187" customFormat="1" ht="12.9" customHeight="1" thickBot="1">
      <c r="A41" s="235" t="s">
        <v>280</v>
      </c>
      <c r="B41" s="192" t="s">
        <v>218</v>
      </c>
      <c r="C41" s="233"/>
      <c r="D41" s="203" t="s">
        <v>310</v>
      </c>
      <c r="E41" s="229"/>
      <c r="F41" s="240" t="s">
        <v>286</v>
      </c>
      <c r="G41" s="228"/>
      <c r="H41" s="203" t="s">
        <v>49</v>
      </c>
      <c r="I41" s="196"/>
      <c r="J41" s="231"/>
      <c r="K41" s="190"/>
      <c r="L41" s="644"/>
      <c r="M41" s="645"/>
      <c r="N41" s="645"/>
      <c r="O41" s="645"/>
      <c r="P41" s="645"/>
      <c r="Q41" s="645"/>
      <c r="R41" s="645"/>
      <c r="S41" s="645"/>
      <c r="T41" s="645"/>
      <c r="U41" s="645"/>
      <c r="V41" s="645"/>
    </row>
    <row r="42" spans="1:22" s="187" customFormat="1" ht="12.9" customHeight="1" thickBot="1">
      <c r="A42" s="235" t="s">
        <v>281</v>
      </c>
      <c r="B42" s="192" t="s">
        <v>220</v>
      </c>
      <c r="C42" s="233"/>
      <c r="D42" s="210">
        <v>0</v>
      </c>
      <c r="E42" s="231" t="s">
        <v>450</v>
      </c>
      <c r="F42" s="240" t="s">
        <v>287</v>
      </c>
      <c r="G42" s="228"/>
      <c r="H42" s="210">
        <v>0</v>
      </c>
      <c r="I42" s="254" t="s">
        <v>446</v>
      </c>
      <c r="J42" s="231"/>
      <c r="K42" s="190"/>
      <c r="L42" s="644"/>
      <c r="M42" s="645"/>
      <c r="N42" s="645"/>
      <c r="O42" s="645"/>
      <c r="P42" s="645"/>
      <c r="Q42" s="645"/>
      <c r="R42" s="645"/>
      <c r="S42" s="645"/>
      <c r="T42" s="645"/>
      <c r="U42" s="645"/>
      <c r="V42" s="645"/>
    </row>
    <row r="43" spans="1:22" s="187" customFormat="1" ht="12.9" customHeight="1" thickBot="1">
      <c r="A43" s="235" t="s">
        <v>282</v>
      </c>
      <c r="B43" s="192" t="s">
        <v>248</v>
      </c>
      <c r="C43" s="233"/>
      <c r="D43" s="203" t="s">
        <v>310</v>
      </c>
      <c r="E43" s="229"/>
      <c r="F43" s="240" t="s">
        <v>288</v>
      </c>
      <c r="G43" s="228"/>
      <c r="H43" s="203" t="s">
        <v>49</v>
      </c>
      <c r="I43" s="255"/>
      <c r="J43" s="231"/>
      <c r="K43" s="190"/>
      <c r="L43" s="644"/>
      <c r="M43" s="645"/>
      <c r="N43" s="645"/>
      <c r="O43" s="645"/>
      <c r="P43" s="645"/>
      <c r="Q43" s="645"/>
      <c r="R43" s="645"/>
      <c r="S43" s="645"/>
      <c r="T43" s="645"/>
      <c r="U43" s="645"/>
      <c r="V43" s="645"/>
    </row>
    <row r="44" spans="1:22" s="187" customFormat="1" ht="12.9" customHeight="1" thickBot="1">
      <c r="A44" s="241" t="s">
        <v>283</v>
      </c>
      <c r="B44" s="256" t="s">
        <v>249</v>
      </c>
      <c r="C44" s="257"/>
      <c r="D44" s="210">
        <v>3500</v>
      </c>
      <c r="E44" s="243" t="s">
        <v>450</v>
      </c>
      <c r="F44" s="258" t="s">
        <v>289</v>
      </c>
      <c r="G44" s="259"/>
      <c r="H44" s="210">
        <v>0</v>
      </c>
      <c r="I44" s="254" t="s">
        <v>446</v>
      </c>
      <c r="J44" s="231"/>
      <c r="K44" s="190"/>
      <c r="L44" s="644"/>
      <c r="M44" s="645"/>
      <c r="N44" s="645"/>
      <c r="O44" s="645"/>
      <c r="P44" s="645"/>
      <c r="Q44" s="645"/>
      <c r="R44" s="645"/>
      <c r="S44" s="645"/>
      <c r="T44" s="645"/>
      <c r="U44" s="645"/>
      <c r="V44" s="645"/>
    </row>
    <row r="45" spans="1:22" s="187" customFormat="1" ht="7.5" customHeight="1" thickTop="1" thickBot="1">
      <c r="A45" s="221"/>
      <c r="B45" s="221"/>
      <c r="C45" s="260"/>
      <c r="D45" s="221"/>
      <c r="E45" s="261"/>
      <c r="F45" s="221"/>
      <c r="G45" s="260"/>
      <c r="H45" s="221"/>
      <c r="I45" s="262"/>
      <c r="J45" s="231"/>
      <c r="K45" s="190"/>
      <c r="L45" s="644"/>
      <c r="M45" s="645"/>
      <c r="N45" s="645"/>
      <c r="O45" s="645"/>
      <c r="P45" s="645"/>
      <c r="Q45" s="645"/>
      <c r="R45" s="645"/>
      <c r="S45" s="645"/>
      <c r="T45" s="645"/>
      <c r="U45" s="645"/>
      <c r="V45" s="645"/>
    </row>
    <row r="46" spans="1:22" s="187" customFormat="1" ht="15.6" customHeight="1" thickTop="1" thickBot="1">
      <c r="A46" s="184" t="s">
        <v>371</v>
      </c>
      <c r="B46" s="185"/>
      <c r="C46" s="228"/>
      <c r="D46" s="185"/>
      <c r="E46" s="229"/>
      <c r="F46" s="185"/>
      <c r="G46" s="228"/>
      <c r="H46" s="230" t="s">
        <v>447</v>
      </c>
      <c r="I46" s="186"/>
      <c r="J46" s="231"/>
      <c r="K46" s="190"/>
      <c r="L46" s="644"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47)&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2026年１月分の報告省令レート（ただし、米ドルと日本円間のレートについては同年１月１日時点の最新の為替レート）を用いてください。</v>
      </c>
      <c r="M46" s="650"/>
      <c r="N46" s="650"/>
      <c r="O46" s="650"/>
      <c r="P46" s="650"/>
      <c r="Q46" s="650"/>
      <c r="R46" s="650"/>
      <c r="S46" s="650"/>
      <c r="T46" s="650"/>
      <c r="U46" s="650"/>
      <c r="V46" s="650"/>
    </row>
    <row r="47" spans="1:22" s="187" customFormat="1" ht="12.9" customHeight="1" thickBot="1">
      <c r="A47" s="235" t="s">
        <v>290</v>
      </c>
      <c r="B47" s="192" t="s">
        <v>0</v>
      </c>
      <c r="C47" s="233"/>
      <c r="D47" s="199">
        <v>0</v>
      </c>
      <c r="E47" s="231" t="s">
        <v>48</v>
      </c>
      <c r="F47" s="234" t="s">
        <v>299</v>
      </c>
      <c r="G47" s="228"/>
      <c r="H47" s="199">
        <v>2</v>
      </c>
      <c r="I47" s="194" t="s">
        <v>48</v>
      </c>
      <c r="J47" s="231"/>
      <c r="K47" s="190"/>
      <c r="L47" s="651"/>
      <c r="M47" s="650"/>
      <c r="N47" s="650"/>
      <c r="O47" s="650"/>
      <c r="P47" s="650"/>
      <c r="Q47" s="650"/>
      <c r="R47" s="650"/>
      <c r="S47" s="650"/>
      <c r="T47" s="650"/>
      <c r="U47" s="650"/>
      <c r="V47" s="650"/>
    </row>
    <row r="48" spans="1:22" s="187" customFormat="1" ht="12.9" customHeight="1" thickBot="1">
      <c r="A48" s="235" t="s">
        <v>291</v>
      </c>
      <c r="B48" s="192" t="s">
        <v>1</v>
      </c>
      <c r="C48" s="233"/>
      <c r="D48" s="199">
        <v>0</v>
      </c>
      <c r="E48" s="231" t="s">
        <v>48</v>
      </c>
      <c r="F48" s="240" t="s">
        <v>300</v>
      </c>
      <c r="G48" s="228"/>
      <c r="H48" s="199">
        <v>0</v>
      </c>
      <c r="I48" s="194" t="s">
        <v>48</v>
      </c>
      <c r="J48" s="231"/>
      <c r="K48" s="190"/>
      <c r="L48" s="651"/>
      <c r="M48" s="650"/>
      <c r="N48" s="650"/>
      <c r="O48" s="650"/>
      <c r="P48" s="650"/>
      <c r="Q48" s="650"/>
      <c r="R48" s="650"/>
      <c r="S48" s="650"/>
      <c r="T48" s="650"/>
      <c r="U48" s="650"/>
      <c r="V48" s="650"/>
    </row>
    <row r="49" spans="1:22" s="187" customFormat="1" ht="12.9" customHeight="1" thickBot="1">
      <c r="A49" s="235" t="s">
        <v>292</v>
      </c>
      <c r="B49" s="192" t="s">
        <v>2</v>
      </c>
      <c r="C49" s="233"/>
      <c r="D49" s="199">
        <v>1</v>
      </c>
      <c r="E49" s="231" t="s">
        <v>48</v>
      </c>
      <c r="F49" s="240" t="s">
        <v>301</v>
      </c>
      <c r="G49" s="228"/>
      <c r="H49" s="199">
        <v>0</v>
      </c>
      <c r="I49" s="194" t="s">
        <v>48</v>
      </c>
      <c r="J49" s="231"/>
      <c r="K49" s="190"/>
      <c r="L49" s="651"/>
      <c r="M49" s="650"/>
      <c r="N49" s="650"/>
      <c r="O49" s="650"/>
      <c r="P49" s="650"/>
      <c r="Q49" s="650"/>
      <c r="R49" s="650"/>
      <c r="S49" s="650"/>
      <c r="T49" s="650"/>
      <c r="U49" s="650"/>
      <c r="V49" s="650"/>
    </row>
    <row r="50" spans="1:22" s="187" customFormat="1" ht="12.9" customHeight="1" thickBot="1">
      <c r="A50" s="235" t="s">
        <v>293</v>
      </c>
      <c r="B50" s="192" t="s">
        <v>3</v>
      </c>
      <c r="C50" s="233"/>
      <c r="D50" s="199">
        <v>0</v>
      </c>
      <c r="E50" s="231" t="s">
        <v>48</v>
      </c>
      <c r="F50" s="240" t="s">
        <v>302</v>
      </c>
      <c r="G50" s="228"/>
      <c r="H50" s="199">
        <v>0</v>
      </c>
      <c r="I50" s="194" t="s">
        <v>48</v>
      </c>
      <c r="J50" s="231"/>
      <c r="K50" s="190"/>
      <c r="L50" s="644" t="s">
        <v>498</v>
      </c>
      <c r="M50" s="645"/>
      <c r="N50" s="645"/>
      <c r="O50" s="645"/>
      <c r="P50" s="645"/>
      <c r="Q50" s="645"/>
      <c r="R50" s="645"/>
      <c r="S50" s="645"/>
      <c r="T50" s="645"/>
      <c r="U50" s="645"/>
      <c r="V50" s="645"/>
    </row>
    <row r="51" spans="1:22" s="187" customFormat="1" ht="12.9" customHeight="1" thickBot="1">
      <c r="A51" s="235" t="s">
        <v>294</v>
      </c>
      <c r="B51" s="192" t="s">
        <v>4</v>
      </c>
      <c r="C51" s="233"/>
      <c r="D51" s="199">
        <v>0</v>
      </c>
      <c r="E51" s="231" t="s">
        <v>48</v>
      </c>
      <c r="F51" s="240" t="s">
        <v>303</v>
      </c>
      <c r="G51" s="228"/>
      <c r="H51" s="199">
        <v>0</v>
      </c>
      <c r="I51" s="194" t="s">
        <v>48</v>
      </c>
      <c r="J51" s="231"/>
      <c r="K51" s="190"/>
      <c r="L51" s="644"/>
      <c r="M51" s="645"/>
      <c r="N51" s="645"/>
      <c r="O51" s="645"/>
      <c r="P51" s="645"/>
      <c r="Q51" s="645"/>
      <c r="R51" s="645"/>
      <c r="S51" s="645"/>
      <c r="T51" s="645"/>
      <c r="U51" s="645"/>
      <c r="V51" s="645"/>
    </row>
    <row r="52" spans="1:22" s="187" customFormat="1" ht="12.9" customHeight="1" thickBot="1">
      <c r="A52" s="235" t="s">
        <v>295</v>
      </c>
      <c r="B52" s="192" t="s">
        <v>5</v>
      </c>
      <c r="C52" s="233"/>
      <c r="D52" s="199">
        <v>0</v>
      </c>
      <c r="E52" s="231" t="s">
        <v>48</v>
      </c>
      <c r="F52" s="240" t="s">
        <v>304</v>
      </c>
      <c r="G52" s="228"/>
      <c r="H52" s="199">
        <v>0</v>
      </c>
      <c r="I52" s="194" t="s">
        <v>48</v>
      </c>
      <c r="J52" s="231"/>
      <c r="K52" s="190"/>
      <c r="L52" s="644"/>
      <c r="M52" s="645"/>
      <c r="N52" s="645"/>
      <c r="O52" s="645"/>
      <c r="P52" s="645"/>
      <c r="Q52" s="645"/>
      <c r="R52" s="645"/>
      <c r="S52" s="645"/>
      <c r="T52" s="645"/>
      <c r="U52" s="645"/>
      <c r="V52" s="645"/>
    </row>
    <row r="53" spans="1:22" s="187" customFormat="1" ht="12.9" customHeight="1" thickBot="1">
      <c r="A53" s="235" t="s">
        <v>296</v>
      </c>
      <c r="B53" s="192" t="s">
        <v>244</v>
      </c>
      <c r="C53" s="233"/>
      <c r="D53" s="199">
        <v>0</v>
      </c>
      <c r="E53" s="231" t="s">
        <v>48</v>
      </c>
      <c r="F53" s="240" t="s">
        <v>305</v>
      </c>
      <c r="G53" s="228"/>
      <c r="H53" s="199">
        <v>0</v>
      </c>
      <c r="I53" s="194" t="s">
        <v>48</v>
      </c>
      <c r="J53" s="231"/>
      <c r="K53" s="190"/>
      <c r="L53" s="644" t="s">
        <v>339</v>
      </c>
      <c r="M53" s="645"/>
      <c r="N53" s="645"/>
      <c r="O53" s="645"/>
      <c r="P53" s="645"/>
      <c r="Q53" s="645"/>
      <c r="R53" s="645"/>
      <c r="S53" s="645"/>
      <c r="T53" s="645"/>
      <c r="U53" s="645"/>
      <c r="V53" s="645"/>
    </row>
    <row r="54" spans="1:22" s="187" customFormat="1" ht="12.9" customHeight="1" thickBot="1">
      <c r="A54" s="235" t="s">
        <v>297</v>
      </c>
      <c r="B54" s="263" t="s">
        <v>245</v>
      </c>
      <c r="C54" s="264"/>
      <c r="D54" s="199">
        <v>0</v>
      </c>
      <c r="E54" s="231" t="s">
        <v>48</v>
      </c>
      <c r="F54" s="240" t="s">
        <v>306</v>
      </c>
      <c r="G54" s="228"/>
      <c r="H54" s="199">
        <v>0</v>
      </c>
      <c r="I54" s="194" t="s">
        <v>48</v>
      </c>
      <c r="J54" s="231"/>
      <c r="K54" s="190"/>
      <c r="L54" s="644"/>
      <c r="M54" s="645"/>
      <c r="N54" s="645"/>
      <c r="O54" s="645"/>
      <c r="P54" s="645"/>
      <c r="Q54" s="645"/>
      <c r="R54" s="645"/>
      <c r="S54" s="645"/>
      <c r="T54" s="645"/>
      <c r="U54" s="645"/>
      <c r="V54" s="645"/>
    </row>
    <row r="55" spans="1:22" s="187" customFormat="1" ht="12.9" customHeight="1" thickBot="1">
      <c r="A55" s="241" t="s">
        <v>298</v>
      </c>
      <c r="B55" s="265" t="s">
        <v>246</v>
      </c>
      <c r="C55" s="242"/>
      <c r="D55" s="199">
        <v>0</v>
      </c>
      <c r="E55" s="243" t="s">
        <v>48</v>
      </c>
      <c r="F55" s="266" t="s">
        <v>307</v>
      </c>
      <c r="G55" s="259"/>
      <c r="H55" s="199">
        <v>0</v>
      </c>
      <c r="I55" s="216" t="s">
        <v>48</v>
      </c>
      <c r="J55" s="231"/>
      <c r="K55" s="190"/>
      <c r="L55" s="644"/>
      <c r="M55" s="645"/>
      <c r="N55" s="645"/>
      <c r="O55" s="645"/>
      <c r="P55" s="645"/>
      <c r="Q55" s="645"/>
      <c r="R55" s="645"/>
      <c r="S55" s="645"/>
      <c r="T55" s="645"/>
      <c r="U55" s="645"/>
      <c r="V55" s="645"/>
    </row>
    <row r="56" spans="1:22" ht="6.6" customHeight="1" thickTop="1">
      <c r="C56" s="267"/>
      <c r="D56" s="268"/>
      <c r="E56" s="269"/>
      <c r="G56" s="267"/>
      <c r="H56" s="270"/>
      <c r="I56" s="270"/>
      <c r="J56" s="269"/>
      <c r="K56" s="172"/>
      <c r="L56" s="148"/>
      <c r="M56" s="148"/>
      <c r="N56" s="148"/>
      <c r="O56" s="148"/>
      <c r="P56" s="148"/>
      <c r="Q56" s="148"/>
      <c r="R56" s="148"/>
      <c r="S56" s="148"/>
      <c r="T56" s="148"/>
      <c r="U56" s="148"/>
      <c r="V56" s="148"/>
    </row>
    <row r="57" spans="1:22" ht="12.75" hidden="1" customHeight="1">
      <c r="B57" s="166" t="s">
        <v>237</v>
      </c>
      <c r="K57" s="172"/>
      <c r="L57" s="148"/>
      <c r="M57" s="148"/>
      <c r="N57" s="148"/>
      <c r="O57" s="148"/>
      <c r="P57" s="148"/>
      <c r="Q57" s="148"/>
      <c r="R57" s="148"/>
      <c r="S57" s="148"/>
      <c r="T57" s="148"/>
      <c r="U57" s="148"/>
      <c r="V57" s="148"/>
    </row>
    <row r="58" spans="1:22" ht="17.25" hidden="1" customHeight="1" thickBot="1">
      <c r="B58" s="182" t="s">
        <v>38</v>
      </c>
      <c r="C58" s="182"/>
      <c r="D58" s="271" t="s">
        <v>312</v>
      </c>
      <c r="E58" s="182"/>
      <c r="H58" s="182" t="s">
        <v>372</v>
      </c>
      <c r="I58" s="182"/>
      <c r="K58" s="172"/>
      <c r="L58" s="148" t="s">
        <v>314</v>
      </c>
      <c r="M58" s="148"/>
      <c r="N58" s="148"/>
      <c r="O58" s="148"/>
      <c r="P58" s="148"/>
      <c r="Q58" s="148"/>
      <c r="R58" s="148"/>
      <c r="S58" s="148"/>
      <c r="T58" s="148"/>
      <c r="U58" s="148"/>
      <c r="V58" s="148"/>
    </row>
    <row r="59" spans="1:22" ht="23.25" hidden="1" customHeight="1" thickBot="1">
      <c r="B59" s="150" t="s">
        <v>224</v>
      </c>
      <c r="C59" s="150"/>
      <c r="D59" s="272" t="s">
        <v>311</v>
      </c>
      <c r="E59" s="150"/>
      <c r="H59" s="182" t="s">
        <v>373</v>
      </c>
      <c r="I59" s="182"/>
      <c r="K59" s="172"/>
      <c r="L59" s="148"/>
      <c r="M59" s="148"/>
      <c r="N59" s="148"/>
      <c r="O59" s="148"/>
      <c r="P59" s="148"/>
      <c r="Q59" s="148"/>
      <c r="R59" s="148"/>
      <c r="S59" s="148"/>
      <c r="T59" s="148"/>
      <c r="U59" s="148"/>
      <c r="V59" s="148"/>
    </row>
    <row r="60" spans="1:22" ht="6.75" customHeight="1">
      <c r="K60" s="172"/>
      <c r="L60" s="148"/>
      <c r="M60" s="148"/>
      <c r="N60" s="148"/>
      <c r="O60" s="148"/>
      <c r="P60" s="148"/>
      <c r="Q60" s="148"/>
      <c r="R60" s="148"/>
      <c r="S60" s="148"/>
      <c r="T60" s="148"/>
      <c r="U60" s="148"/>
      <c r="V60" s="148"/>
    </row>
    <row r="61" spans="1:22">
      <c r="B61" s="166" t="s">
        <v>252</v>
      </c>
      <c r="K61" s="172"/>
      <c r="L61" s="148" t="s">
        <v>492</v>
      </c>
      <c r="M61" s="148"/>
      <c r="N61" s="148"/>
      <c r="O61" s="148"/>
      <c r="P61" s="148"/>
      <c r="Q61" s="148"/>
      <c r="R61" s="148"/>
      <c r="S61" s="148"/>
      <c r="T61" s="148"/>
      <c r="U61" s="148"/>
      <c r="V61" s="148"/>
    </row>
    <row r="62" spans="1:22" ht="13.5" customHeight="1">
      <c r="B62" s="273" t="s">
        <v>334</v>
      </c>
      <c r="K62" s="172"/>
      <c r="L62" s="644" t="s">
        <v>503</v>
      </c>
      <c r="M62" s="645"/>
      <c r="N62" s="645"/>
      <c r="O62" s="645"/>
      <c r="P62" s="645"/>
      <c r="Q62" s="645"/>
      <c r="R62" s="645"/>
      <c r="S62" s="645"/>
      <c r="T62" s="645"/>
      <c r="U62" s="645"/>
      <c r="V62" s="645"/>
    </row>
    <row r="63" spans="1:22" ht="13.5" customHeight="1">
      <c r="B63" s="274" t="s">
        <v>253</v>
      </c>
      <c r="K63" s="172"/>
      <c r="L63" s="644"/>
      <c r="M63" s="645"/>
      <c r="N63" s="645"/>
      <c r="O63" s="645"/>
      <c r="P63" s="645"/>
      <c r="Q63" s="645"/>
      <c r="R63" s="645"/>
      <c r="S63" s="645"/>
      <c r="T63" s="645"/>
      <c r="U63" s="645"/>
      <c r="V63" s="645"/>
    </row>
    <row r="64" spans="1:22">
      <c r="B64" s="274" t="s">
        <v>354</v>
      </c>
      <c r="K64" s="172"/>
      <c r="L64" s="644"/>
      <c r="M64" s="645"/>
      <c r="N64" s="645"/>
      <c r="O64" s="645"/>
      <c r="P64" s="645"/>
      <c r="Q64" s="645"/>
      <c r="R64" s="645"/>
      <c r="S64" s="645"/>
      <c r="T64" s="645"/>
      <c r="U64" s="645"/>
      <c r="V64" s="645"/>
    </row>
    <row r="65" spans="1:22" ht="13.5" customHeight="1">
      <c r="B65" s="274" t="s">
        <v>333</v>
      </c>
      <c r="K65" s="172"/>
      <c r="L65" s="644"/>
      <c r="M65" s="645"/>
      <c r="N65" s="645"/>
      <c r="O65" s="645"/>
      <c r="P65" s="645"/>
      <c r="Q65" s="645"/>
      <c r="R65" s="645"/>
      <c r="S65" s="645"/>
      <c r="T65" s="645"/>
      <c r="U65" s="645"/>
      <c r="V65" s="645"/>
    </row>
    <row r="66" spans="1:22">
      <c r="B66" s="274" t="s">
        <v>355</v>
      </c>
      <c r="K66" s="172"/>
      <c r="L66" s="644" t="s">
        <v>502</v>
      </c>
      <c r="M66" s="645"/>
      <c r="N66" s="645"/>
      <c r="O66" s="645"/>
      <c r="P66" s="645"/>
      <c r="Q66" s="645"/>
      <c r="R66" s="645"/>
      <c r="S66" s="645"/>
      <c r="T66" s="645"/>
      <c r="U66" s="645"/>
      <c r="V66" s="645"/>
    </row>
    <row r="67" spans="1:22">
      <c r="B67" s="274" t="s">
        <v>247</v>
      </c>
      <c r="K67" s="172"/>
      <c r="L67" s="644"/>
      <c r="M67" s="645"/>
      <c r="N67" s="645"/>
      <c r="O67" s="645"/>
      <c r="P67" s="645"/>
      <c r="Q67" s="645"/>
      <c r="R67" s="645"/>
      <c r="S67" s="645"/>
      <c r="T67" s="645"/>
      <c r="U67" s="645"/>
      <c r="V67" s="645"/>
    </row>
    <row r="68" spans="1:22" ht="10.5" customHeight="1">
      <c r="A68" s="275"/>
      <c r="B68" s="158" t="s">
        <v>356</v>
      </c>
      <c r="C68" s="275"/>
      <c r="D68" s="275"/>
      <c r="E68" s="275"/>
      <c r="F68" s="275"/>
      <c r="G68" s="275"/>
      <c r="H68" s="275"/>
      <c r="I68" s="275"/>
      <c r="J68" s="275"/>
      <c r="K68" s="275"/>
      <c r="L68" s="644"/>
      <c r="M68" s="645"/>
      <c r="N68" s="645"/>
      <c r="O68" s="645"/>
      <c r="P68" s="645"/>
      <c r="Q68" s="645"/>
      <c r="R68" s="645"/>
      <c r="S68" s="645"/>
      <c r="T68" s="645"/>
      <c r="U68" s="645"/>
      <c r="V68" s="645"/>
    </row>
    <row r="69" spans="1:22" ht="10.5" customHeight="1">
      <c r="B69" s="166" t="s">
        <v>243</v>
      </c>
      <c r="L69" s="644"/>
      <c r="M69" s="645"/>
      <c r="N69" s="645"/>
      <c r="O69" s="645"/>
      <c r="P69" s="645"/>
      <c r="Q69" s="645"/>
      <c r="R69" s="645"/>
      <c r="S69" s="645"/>
      <c r="T69" s="645"/>
      <c r="U69" s="645"/>
      <c r="V69" s="645"/>
    </row>
    <row r="70" spans="1:22">
      <c r="A70" s="276"/>
      <c r="B70" s="277" t="s">
        <v>335</v>
      </c>
      <c r="C70" s="278"/>
      <c r="D70" s="279">
        <v>0</v>
      </c>
      <c r="E70" s="280"/>
      <c r="F70" s="647"/>
      <c r="G70" s="648"/>
      <c r="H70" s="648"/>
      <c r="I70" s="649"/>
      <c r="K70" s="172"/>
      <c r="L70" s="644" t="s">
        <v>504</v>
      </c>
      <c r="M70" s="645"/>
      <c r="N70" s="645"/>
      <c r="O70" s="645"/>
      <c r="P70" s="645"/>
      <c r="Q70" s="645"/>
      <c r="R70" s="645"/>
      <c r="S70" s="645"/>
      <c r="T70" s="645"/>
      <c r="U70" s="645"/>
      <c r="V70" s="645"/>
    </row>
    <row r="71" spans="1:22" ht="10.5" customHeight="1">
      <c r="A71" s="281"/>
      <c r="B71" s="282" t="s">
        <v>336</v>
      </c>
      <c r="C71" s="283"/>
      <c r="D71" s="284">
        <v>0</v>
      </c>
      <c r="E71" s="285"/>
      <c r="F71" s="286"/>
      <c r="G71" s="286"/>
      <c r="H71" s="284">
        <v>0</v>
      </c>
      <c r="I71" s="287"/>
      <c r="K71" s="172"/>
      <c r="L71" s="644"/>
      <c r="M71" s="645"/>
      <c r="N71" s="645"/>
      <c r="O71" s="645"/>
      <c r="P71" s="645"/>
      <c r="Q71" s="645"/>
      <c r="R71" s="645"/>
      <c r="S71" s="645"/>
      <c r="T71" s="645"/>
      <c r="U71" s="645"/>
      <c r="V71" s="645"/>
    </row>
    <row r="72" spans="1:22" ht="10.5" customHeight="1">
      <c r="B72" s="288" t="s">
        <v>337</v>
      </c>
      <c r="C72" s="289"/>
      <c r="D72" s="290">
        <v>0</v>
      </c>
      <c r="E72" s="280"/>
      <c r="F72" s="278"/>
      <c r="G72" s="278"/>
      <c r="H72" s="290">
        <v>0</v>
      </c>
      <c r="I72" s="291"/>
      <c r="K72" s="172"/>
      <c r="L72" s="273" t="s">
        <v>363</v>
      </c>
      <c r="M72" s="148"/>
      <c r="N72" s="148"/>
      <c r="O72" s="148"/>
      <c r="P72" s="148"/>
      <c r="Q72" s="148"/>
      <c r="R72" s="148"/>
      <c r="S72" s="148"/>
      <c r="T72" s="148"/>
      <c r="U72" s="148"/>
      <c r="V72" s="148"/>
    </row>
    <row r="73" spans="1:22" ht="10.5" customHeight="1">
      <c r="B73" s="282" t="s">
        <v>338</v>
      </c>
      <c r="C73" s="283"/>
      <c r="D73" s="284">
        <v>0</v>
      </c>
      <c r="E73" s="285"/>
      <c r="F73" s="286"/>
      <c r="G73" s="286"/>
      <c r="H73" s="284">
        <v>0</v>
      </c>
      <c r="I73" s="287"/>
      <c r="K73" s="292" t="s">
        <v>444</v>
      </c>
      <c r="L73" s="274" t="s">
        <v>374</v>
      </c>
      <c r="M73" s="148"/>
      <c r="N73" s="148"/>
      <c r="O73" s="148"/>
      <c r="P73" s="148"/>
      <c r="Q73" s="148"/>
      <c r="R73" s="148"/>
      <c r="S73" s="148"/>
      <c r="T73" s="148"/>
      <c r="U73" s="148"/>
      <c r="V73" s="148"/>
    </row>
    <row r="74" spans="1:22" ht="10.5" customHeight="1"/>
  </sheetData>
  <protectedRanges>
    <protectedRange sqref="H8" name="範囲1"/>
    <protectedRange sqref="D19" name="範囲1_1"/>
    <protectedRange sqref="D31" name="範囲1_2"/>
    <protectedRange sqref="H31" name="範囲1_3"/>
  </protectedRanges>
  <mergeCells count="21">
    <mergeCell ref="F70:I70"/>
    <mergeCell ref="L15:V18"/>
    <mergeCell ref="L32:V34"/>
    <mergeCell ref="L38:V45"/>
    <mergeCell ref="L53:V55"/>
    <mergeCell ref="L24:V27"/>
    <mergeCell ref="L62:V65"/>
    <mergeCell ref="L66:V69"/>
    <mergeCell ref="L70:V71"/>
    <mergeCell ref="L50:V52"/>
    <mergeCell ref="L46:V49"/>
    <mergeCell ref="A1:I1"/>
    <mergeCell ref="E8:G8"/>
    <mergeCell ref="L7:V8"/>
    <mergeCell ref="B5:I6"/>
    <mergeCell ref="E12:G12"/>
    <mergeCell ref="L1:V1"/>
    <mergeCell ref="L9:V11"/>
    <mergeCell ref="L4:V6"/>
    <mergeCell ref="L12:V14"/>
    <mergeCell ref="E10:G10"/>
  </mergeCells>
  <phoneticPr fontId="2"/>
  <conditionalFormatting sqref="B22:D22">
    <cfRule type="expression" dxfId="17" priority="6">
      <formula>$D$21&lt;&gt;"特別の障がい者である"</formula>
    </cfRule>
  </conditionalFormatting>
  <conditionalFormatting sqref="B24:E27">
    <cfRule type="expression" dxfId="16" priority="7">
      <formula>$D$23="いいえ"</formula>
    </cfRule>
  </conditionalFormatting>
  <conditionalFormatting sqref="B33:E34">
    <cfRule type="expression" dxfId="15" priority="5">
      <formula>$D$32="いいえ"</formula>
    </cfRule>
  </conditionalFormatting>
  <conditionalFormatting sqref="B36:E36">
    <cfRule type="expression" dxfId="14" priority="10">
      <formula>$D$32="はい"</formula>
    </cfRule>
  </conditionalFormatting>
  <conditionalFormatting sqref="G30:I36">
    <cfRule type="expression" dxfId="13" priority="1">
      <formula>$D$32="いいえ"</formula>
    </cfRule>
  </conditionalFormatting>
  <conditionalFormatting sqref="G38:I44">
    <cfRule type="expression" dxfId="12" priority="3">
      <formula>$D$32="いいえ"</formula>
    </cfRule>
  </conditionalFormatting>
  <conditionalFormatting sqref="G47:I55">
    <cfRule type="expression" dxfId="11" priority="9">
      <formula>$D$32="いいえ"</formula>
    </cfRule>
  </conditionalFormatting>
  <conditionalFormatting sqref="H36">
    <cfRule type="expression" dxfId="10" priority="4">
      <formula>$D$32="はい"</formula>
    </cfRule>
  </conditionalFormatting>
  <conditionalFormatting sqref="H71:I73">
    <cfRule type="expression" dxfId="9" priority="8">
      <formula>OR($D$32="いいえ",$D$33="いいえ")</formula>
    </cfRule>
  </conditionalFormatting>
  <dataValidations count="5">
    <dataValidation type="list" allowBlank="1" showInputMessage="1" showErrorMessage="1" sqref="H35" xr:uid="{00000000-0002-0000-0200-000000000000}">
      <formula1>$F$12:$F$13</formula1>
    </dataValidation>
    <dataValidation type="date" allowBlank="1" showInputMessage="1" showErrorMessage="1" sqref="H8" xr:uid="{00000000-0002-0000-0200-000001000000}">
      <formula1>1</formula1>
      <formula2>401404</formula2>
    </dataValidation>
    <dataValidation type="list" allowBlank="1" showInputMessage="1" showErrorMessage="1" sqref="D22:D23" xr:uid="{00000000-0002-0000-0200-000002000000}">
      <formula1>$F$3:$F$4</formula1>
    </dataValidation>
    <dataValidation type="whole" allowBlank="1" showInputMessage="1" showErrorMessage="1" sqref="D10" xr:uid="{00000000-0002-0000-0200-000003000000}">
      <formula1>2000</formula1>
      <formula2>9999</formula2>
    </dataValidation>
    <dataValidation type="date" allowBlank="1" showInputMessage="1" showErrorMessage="1" sqref="D19 D31 H31" xr:uid="{00000000-0002-0000-0200-000004000000}">
      <formula1>1</formula1>
      <formula2>73051</formula2>
    </dataValidation>
  </dataValidations>
  <pageMargins left="0.43307086614173229" right="0.43307086614173229" top="0.35433070866141736" bottom="0.35433070866141736" header="0.11811023622047245" footer="0.11811023622047245"/>
  <pageSetup paperSize="9" scale="67"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5000000}">
          <x14:formula1>
            <xm:f>計算シート!$F$5:$F$7</xm:f>
          </x14:formula1>
          <xm:sqref>D21</xm:sqref>
        </x14:dataValidation>
        <x14:dataValidation type="list" allowBlank="1" showInputMessage="1" showErrorMessage="1" xr:uid="{00000000-0002-0000-0200-000006000000}">
          <x14:formula1>
            <xm:f>計算シート!$F$11:$F$13</xm:f>
          </x14:formula1>
          <xm:sqref>D20</xm:sqref>
        </x14:dataValidation>
        <x14:dataValidation type="list" allowBlank="1" showInputMessage="1" showErrorMessage="1" xr:uid="{00000000-0002-0000-0200-000007000000}">
          <x14:formula1>
            <xm:f>計算シート!$F$8:$F$10</xm:f>
          </x14:formula1>
          <xm:sqref>D36</xm:sqref>
        </x14:dataValidation>
        <x14:dataValidation type="list" allowBlank="1" showInputMessage="1" showErrorMessage="1" xr:uid="{00000000-0002-0000-0200-000008000000}">
          <x14:formula1>
            <xm:f>前年レート!$N$12:$N$74</xm:f>
          </x14:formula1>
          <xm:sqref>D39 D43 H39 D41 H41 H43 D24 D26</xm:sqref>
        </x14:dataValidation>
        <x14:dataValidation type="list" allowBlank="1" showInputMessage="1" showErrorMessage="1" xr:uid="{00000000-0002-0000-0200-000009000000}">
          <x14:formula1>
            <xm:f>計算シート!$F$5:$F$6</xm:f>
          </x14:formula1>
          <xm:sqref>D35</xm:sqref>
        </x14:dataValidation>
        <x14:dataValidation type="list" allowBlank="1" showInputMessage="1" showErrorMessage="1" xr:uid="{00000000-0002-0000-0200-00000A000000}">
          <x14:formula1>
            <xm:f>計算シート!$F$3:$F$4</xm:f>
          </x14:formula1>
          <xm:sqref>D32:D34</xm:sqref>
        </x14:dataValidation>
        <x14:dataValidation type="list" allowBlank="1" showInputMessage="1" showErrorMessage="1" xr:uid="{00000000-0002-0000-0200-00000B000000}">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3"/>
  <sheetViews>
    <sheetView view="pageBreakPreview" zoomScaleNormal="100" zoomScaleSheetLayoutView="100" workbookViewId="0">
      <selection activeCell="H42" sqref="H42"/>
    </sheetView>
  </sheetViews>
  <sheetFormatPr defaultRowHeight="13.2"/>
  <cols>
    <col min="1" max="1" width="3.109375" customWidth="1"/>
    <col min="2" max="2" width="34.6640625" customWidth="1"/>
    <col min="3" max="3" width="0.6640625" customWidth="1"/>
    <col min="4" max="4" width="16.6640625" customWidth="1"/>
    <col min="5" max="5" width="4.77734375" bestFit="1" customWidth="1"/>
    <col min="6" max="6" width="4.109375" customWidth="1"/>
    <col min="7" max="7" width="2.44140625" customWidth="1"/>
    <col min="8" max="8" width="16.6640625" customWidth="1"/>
    <col min="9" max="9" width="4.77734375" bestFit="1" customWidth="1"/>
    <col min="10" max="15" width="0.6640625" customWidth="1"/>
    <col min="16" max="16" width="4.88671875" customWidth="1"/>
    <col min="27" max="27" width="4.21875" customWidth="1"/>
  </cols>
  <sheetData>
    <row r="1" spans="1:27">
      <c r="A1" s="559" t="s">
        <v>443</v>
      </c>
      <c r="B1" s="559"/>
      <c r="C1" s="559"/>
      <c r="D1" s="559"/>
      <c r="E1" s="559"/>
      <c r="F1" s="559"/>
      <c r="G1" s="559"/>
      <c r="H1" s="559"/>
      <c r="I1" s="559"/>
      <c r="P1" s="145"/>
      <c r="Q1" s="559" t="s">
        <v>308</v>
      </c>
      <c r="R1" s="559"/>
      <c r="S1" s="559"/>
      <c r="T1" s="559"/>
      <c r="U1" s="559"/>
      <c r="V1" s="559"/>
      <c r="W1" s="559"/>
      <c r="X1" s="559"/>
      <c r="Y1" s="559"/>
      <c r="Z1" s="559"/>
      <c r="AA1" s="559"/>
    </row>
    <row r="2" spans="1:27" ht="6" customHeight="1">
      <c r="A2" s="55"/>
      <c r="B2" s="55"/>
      <c r="C2" s="55"/>
      <c r="D2" s="55"/>
      <c r="E2" s="55"/>
      <c r="F2" s="55"/>
      <c r="G2" s="55"/>
      <c r="H2" s="55"/>
      <c r="I2" s="55"/>
      <c r="P2" s="145"/>
    </row>
    <row r="3" spans="1:27">
      <c r="A3" s="68" t="s">
        <v>242</v>
      </c>
      <c r="C3" s="55"/>
      <c r="D3" s="55"/>
      <c r="E3" s="55"/>
      <c r="F3" s="55"/>
      <c r="G3" s="55"/>
      <c r="H3" s="55"/>
      <c r="I3" s="55"/>
      <c r="P3" s="145"/>
      <c r="Q3" s="144" t="s">
        <v>487</v>
      </c>
      <c r="R3" s="144"/>
      <c r="S3" s="144"/>
      <c r="T3" s="144"/>
      <c r="U3" s="144"/>
      <c r="V3" s="144"/>
      <c r="W3" s="144"/>
      <c r="X3" s="144"/>
      <c r="Y3" s="144"/>
      <c r="Z3" s="144"/>
      <c r="AA3" s="144"/>
    </row>
    <row r="4" spans="1:27" ht="15.75" customHeight="1">
      <c r="A4" s="55"/>
      <c r="B4" s="68"/>
      <c r="C4" s="55"/>
      <c r="D4" s="55"/>
      <c r="E4" s="55"/>
      <c r="F4" s="55"/>
      <c r="G4" s="55"/>
      <c r="H4" s="55"/>
      <c r="I4" s="55"/>
      <c r="P4" s="145"/>
      <c r="Q4" s="644" t="s">
        <v>494</v>
      </c>
      <c r="R4" s="645"/>
      <c r="S4" s="645"/>
      <c r="T4" s="645"/>
      <c r="U4" s="645"/>
      <c r="V4" s="645"/>
      <c r="W4" s="645"/>
      <c r="X4" s="645"/>
      <c r="Y4" s="645"/>
      <c r="Z4" s="645"/>
      <c r="AA4" s="645"/>
    </row>
    <row r="5" spans="1:27" ht="13.5" customHeight="1">
      <c r="A5" s="55"/>
      <c r="B5" s="560" t="s">
        <v>375</v>
      </c>
      <c r="C5" s="560"/>
      <c r="D5" s="560"/>
      <c r="E5" s="560"/>
      <c r="F5" s="560"/>
      <c r="G5" s="560"/>
      <c r="H5" s="560"/>
      <c r="I5" s="560"/>
      <c r="P5" s="145"/>
      <c r="Q5" s="644"/>
      <c r="R5" s="645"/>
      <c r="S5" s="645"/>
      <c r="T5" s="645"/>
      <c r="U5" s="645"/>
      <c r="V5" s="645"/>
      <c r="W5" s="645"/>
      <c r="X5" s="645"/>
      <c r="Y5" s="645"/>
      <c r="Z5" s="645"/>
      <c r="AA5" s="645"/>
    </row>
    <row r="6" spans="1:27">
      <c r="A6" s="55"/>
      <c r="B6" s="560"/>
      <c r="C6" s="560"/>
      <c r="D6" s="560"/>
      <c r="E6" s="560"/>
      <c r="F6" s="560"/>
      <c r="G6" s="560"/>
      <c r="H6" s="560"/>
      <c r="I6" s="560"/>
      <c r="P6" s="145"/>
      <c r="Q6" s="644"/>
      <c r="R6" s="645"/>
      <c r="S6" s="645"/>
      <c r="T6" s="645"/>
      <c r="U6" s="645"/>
      <c r="V6" s="645"/>
      <c r="W6" s="645"/>
      <c r="X6" s="645"/>
      <c r="Y6" s="645"/>
      <c r="Z6" s="645"/>
      <c r="AA6" s="645"/>
    </row>
    <row r="7" spans="1:27" ht="13.5" customHeight="1">
      <c r="A7" s="55"/>
      <c r="B7" s="390"/>
      <c r="C7" s="390"/>
      <c r="D7" s="390"/>
      <c r="E7" s="390"/>
      <c r="F7" s="390"/>
      <c r="G7" s="390"/>
      <c r="H7" s="390"/>
      <c r="I7" s="390"/>
      <c r="P7" s="145"/>
      <c r="Q7" s="644" t="s">
        <v>340</v>
      </c>
      <c r="R7" s="645"/>
      <c r="S7" s="645"/>
      <c r="T7" s="645"/>
      <c r="U7" s="645"/>
      <c r="V7" s="645"/>
      <c r="W7" s="645"/>
      <c r="X7" s="645"/>
      <c r="Y7" s="645"/>
      <c r="Z7" s="645"/>
      <c r="AA7" s="645"/>
    </row>
    <row r="8" spans="1:27" ht="13.8" thickBot="1">
      <c r="A8" s="55"/>
      <c r="B8" s="390"/>
      <c r="C8" s="390"/>
      <c r="D8" s="390"/>
      <c r="E8" s="572" t="s">
        <v>331</v>
      </c>
      <c r="F8" s="572"/>
      <c r="G8" s="572"/>
      <c r="H8" s="391">
        <v>43647</v>
      </c>
      <c r="I8" s="390"/>
      <c r="P8" s="145"/>
      <c r="Q8" s="644"/>
      <c r="R8" s="645"/>
      <c r="S8" s="645"/>
      <c r="T8" s="645"/>
      <c r="U8" s="645"/>
      <c r="V8" s="645"/>
      <c r="W8" s="645"/>
      <c r="X8" s="645"/>
      <c r="Y8" s="645"/>
      <c r="Z8" s="645"/>
      <c r="AA8" s="645"/>
    </row>
    <row r="9" spans="1:27" ht="13.5" customHeight="1">
      <c r="A9" s="55"/>
      <c r="B9" s="55"/>
      <c r="C9" s="55"/>
      <c r="D9" s="55"/>
      <c r="H9" s="160" t="s">
        <v>376</v>
      </c>
      <c r="I9" s="55"/>
      <c r="P9" s="145"/>
      <c r="Q9" s="644" t="s">
        <v>493</v>
      </c>
      <c r="R9" s="645"/>
      <c r="S9" s="645"/>
      <c r="T9" s="645"/>
      <c r="U9" s="645"/>
      <c r="V9" s="645"/>
      <c r="W9" s="645"/>
      <c r="X9" s="645"/>
      <c r="Y9" s="645"/>
      <c r="Z9" s="645"/>
      <c r="AA9" s="645"/>
    </row>
    <row r="10" spans="1:27" ht="13.5" customHeight="1" thickBot="1">
      <c r="A10" s="55"/>
      <c r="B10" s="149" t="s">
        <v>349</v>
      </c>
      <c r="C10" s="55"/>
      <c r="D10" s="167">
        <v>2020</v>
      </c>
      <c r="E10" s="572" t="s">
        <v>346</v>
      </c>
      <c r="F10" s="572"/>
      <c r="G10" s="572"/>
      <c r="H10" s="168" t="s">
        <v>342</v>
      </c>
      <c r="I10" s="55"/>
      <c r="P10" s="145"/>
      <c r="Q10" s="644"/>
      <c r="R10" s="645"/>
      <c r="S10" s="645"/>
      <c r="T10" s="645"/>
      <c r="U10" s="645"/>
      <c r="V10" s="645"/>
      <c r="W10" s="645"/>
      <c r="X10" s="645"/>
      <c r="Y10" s="645"/>
      <c r="Z10" s="645"/>
      <c r="AA10" s="645"/>
    </row>
    <row r="11" spans="1:27" ht="13.8" thickBot="1">
      <c r="A11" s="55"/>
      <c r="B11" s="149" t="s">
        <v>377</v>
      </c>
      <c r="C11" s="58"/>
      <c r="D11" s="170">
        <v>12345678</v>
      </c>
      <c r="E11" s="293" t="s">
        <v>378</v>
      </c>
      <c r="F11" s="294">
        <v>101</v>
      </c>
      <c r="G11" s="293" t="s">
        <v>378</v>
      </c>
      <c r="H11" s="294">
        <v>901234</v>
      </c>
      <c r="I11" s="55"/>
      <c r="P11" s="145"/>
      <c r="Q11" s="644"/>
      <c r="R11" s="645"/>
      <c r="S11" s="645"/>
      <c r="T11" s="645"/>
      <c r="U11" s="645"/>
      <c r="V11" s="645"/>
      <c r="W11" s="645"/>
      <c r="X11" s="645"/>
      <c r="Y11" s="645"/>
      <c r="Z11" s="645"/>
      <c r="AA11" s="645"/>
    </row>
    <row r="12" spans="1:27" ht="14.25" customHeight="1" thickBot="1">
      <c r="B12" s="149" t="s">
        <v>379</v>
      </c>
      <c r="C12" s="58"/>
      <c r="D12" s="58" t="s">
        <v>380</v>
      </c>
      <c r="E12" s="655" t="s">
        <v>332</v>
      </c>
      <c r="F12" s="655"/>
      <c r="G12" s="655"/>
      <c r="H12" s="391">
        <v>37072</v>
      </c>
      <c r="P12" s="145"/>
      <c r="Q12" s="644" t="s">
        <v>361</v>
      </c>
      <c r="R12" s="645"/>
      <c r="S12" s="645"/>
      <c r="T12" s="645"/>
      <c r="U12" s="645"/>
      <c r="V12" s="645"/>
      <c r="W12" s="645"/>
      <c r="X12" s="645"/>
      <c r="Y12" s="645"/>
      <c r="Z12" s="645"/>
      <c r="AA12" s="645"/>
    </row>
    <row r="13" spans="1:27" ht="13.8" thickBot="1">
      <c r="B13" s="149" t="s">
        <v>221</v>
      </c>
      <c r="C13" s="69"/>
      <c r="D13" s="69" t="s">
        <v>381</v>
      </c>
      <c r="H13" s="160" t="s">
        <v>382</v>
      </c>
      <c r="P13" s="145"/>
      <c r="Q13" s="644"/>
      <c r="R13" s="645"/>
      <c r="S13" s="645"/>
      <c r="T13" s="645"/>
      <c r="U13" s="645"/>
      <c r="V13" s="645"/>
      <c r="W13" s="645"/>
      <c r="X13" s="645"/>
      <c r="Y13" s="645"/>
      <c r="Z13" s="645"/>
      <c r="AA13" s="645"/>
    </row>
    <row r="14" spans="1:27" ht="13.8" thickBot="1">
      <c r="B14" s="149" t="s">
        <v>222</v>
      </c>
      <c r="C14" s="69"/>
      <c r="D14" s="150" t="s">
        <v>383</v>
      </c>
      <c r="E14" s="39"/>
      <c r="F14" s="39"/>
      <c r="G14" s="39"/>
      <c r="H14" s="39"/>
      <c r="P14" s="145"/>
      <c r="Q14" s="644"/>
      <c r="R14" s="645"/>
      <c r="S14" s="645"/>
      <c r="T14" s="645"/>
      <c r="U14" s="645"/>
      <c r="V14" s="645"/>
      <c r="W14" s="645"/>
      <c r="X14" s="645"/>
      <c r="Y14" s="645"/>
      <c r="Z14" s="645"/>
      <c r="AA14" s="645"/>
    </row>
    <row r="15" spans="1:27" ht="13.5" customHeight="1">
      <c r="B15" s="68" t="str">
        <f>"※ 以下、収入（所得）は【"&amp;IF(計算シート!C50=1,計算シート!C48,計算シート!C49)&amp;"年1月1日～12月31日】のものを入力してください。"</f>
        <v>※ 以下、収入（所得）は【2025年1月1日～12月31日】のものを入力してください。</v>
      </c>
      <c r="D15" s="166"/>
      <c r="E15" s="39"/>
      <c r="F15" s="39"/>
      <c r="G15" s="39"/>
      <c r="H15" s="39"/>
      <c r="P15" s="145"/>
      <c r="Q15" s="656" t="s">
        <v>309</v>
      </c>
      <c r="R15" s="657"/>
      <c r="S15" s="657"/>
      <c r="T15" s="657"/>
      <c r="U15" s="657"/>
      <c r="V15" s="657"/>
      <c r="W15" s="657"/>
      <c r="X15" s="657"/>
      <c r="Y15" s="657"/>
      <c r="Z15" s="657"/>
      <c r="AA15" s="657"/>
    </row>
    <row r="16" spans="1:27">
      <c r="B16" s="68" t="str">
        <f>"    扶養等の情報は【"&amp;IF(計算シート!C50=1,計算シート!C48,計算シート!C49)&amp;"年12月31日】現在のものを入力してください。"</f>
        <v xml:space="preserve">    扶養等の情報は【2025年12月31日】現在のものを入力してください。</v>
      </c>
      <c r="D16" s="166"/>
      <c r="E16" s="39"/>
      <c r="F16" s="39"/>
      <c r="G16" s="39"/>
      <c r="H16" s="39"/>
      <c r="P16" s="145"/>
      <c r="Q16" s="656"/>
      <c r="R16" s="657"/>
      <c r="S16" s="657"/>
      <c r="T16" s="657"/>
      <c r="U16" s="657"/>
      <c r="V16" s="657"/>
      <c r="W16" s="657"/>
      <c r="X16" s="657"/>
      <c r="Y16" s="657"/>
      <c r="Z16" s="657"/>
      <c r="AA16" s="657"/>
    </row>
    <row r="17" spans="1:27" ht="7.5" customHeight="1" thickBot="1">
      <c r="A17" s="61"/>
      <c r="B17" s="61"/>
      <c r="C17" s="61"/>
      <c r="D17" s="61"/>
      <c r="E17" s="61"/>
      <c r="P17" s="145"/>
      <c r="Q17" s="656"/>
      <c r="R17" s="657"/>
      <c r="S17" s="657"/>
      <c r="T17" s="657"/>
      <c r="U17" s="657"/>
      <c r="V17" s="657"/>
      <c r="W17" s="657"/>
      <c r="X17" s="657"/>
      <c r="Y17" s="657"/>
      <c r="Z17" s="657"/>
      <c r="AA17" s="657"/>
    </row>
    <row r="18" spans="1:27" s="76" customFormat="1" ht="15.6" customHeight="1" thickTop="1">
      <c r="A18" s="67" t="s">
        <v>384</v>
      </c>
      <c r="B18" s="56"/>
      <c r="C18" s="56"/>
      <c r="D18" s="56"/>
      <c r="E18" s="75"/>
      <c r="G18" s="64" t="s">
        <v>318</v>
      </c>
      <c r="H18" s="151"/>
      <c r="I18" s="75"/>
      <c r="P18" s="146"/>
      <c r="Q18" s="656"/>
      <c r="R18" s="657"/>
      <c r="S18" s="657"/>
      <c r="T18" s="657"/>
      <c r="U18" s="657"/>
      <c r="V18" s="657"/>
      <c r="W18" s="657"/>
      <c r="X18" s="657"/>
      <c r="Y18" s="657"/>
      <c r="Z18" s="657"/>
      <c r="AA18" s="657"/>
    </row>
    <row r="19" spans="1:27" s="76" customFormat="1" ht="12.9" customHeight="1" thickBot="1">
      <c r="A19" s="132" t="s">
        <v>385</v>
      </c>
      <c r="B19" s="42" t="s">
        <v>352</v>
      </c>
      <c r="C19" s="298"/>
      <c r="D19" s="299">
        <f>H12</f>
        <v>37072</v>
      </c>
      <c r="E19" s="79"/>
      <c r="G19" s="153" t="s">
        <v>319</v>
      </c>
      <c r="H19" s="56"/>
      <c r="I19" s="79"/>
      <c r="P19" s="146"/>
      <c r="Q19" s="302" t="s">
        <v>488</v>
      </c>
      <c r="R19" s="162"/>
      <c r="S19" s="162"/>
      <c r="T19" s="162"/>
      <c r="U19" s="162"/>
      <c r="V19" s="162"/>
      <c r="W19" s="162"/>
      <c r="X19" s="162"/>
      <c r="Y19" s="162"/>
      <c r="Z19" s="162"/>
      <c r="AA19" s="162"/>
    </row>
    <row r="20" spans="1:27" s="76" customFormat="1" ht="12.9" customHeight="1" thickBot="1">
      <c r="A20" s="133" t="s">
        <v>386</v>
      </c>
      <c r="B20" s="43" t="s">
        <v>238</v>
      </c>
      <c r="D20" s="40" t="s">
        <v>38</v>
      </c>
      <c r="E20" s="79"/>
      <c r="G20" s="153" t="s">
        <v>320</v>
      </c>
      <c r="H20" s="56"/>
      <c r="I20" s="79"/>
      <c r="P20" s="146"/>
      <c r="Q20" s="211" t="s">
        <v>489</v>
      </c>
      <c r="R20" s="162"/>
      <c r="S20" s="162"/>
      <c r="T20" s="162"/>
      <c r="U20" s="162"/>
      <c r="V20" s="162"/>
      <c r="W20" s="162"/>
      <c r="X20" s="162"/>
      <c r="Y20" s="162"/>
      <c r="Z20" s="162"/>
      <c r="AA20" s="162"/>
    </row>
    <row r="21" spans="1:27" s="76" customFormat="1" ht="12.9" customHeight="1" thickBot="1">
      <c r="A21" s="133" t="s">
        <v>387</v>
      </c>
      <c r="B21" s="76" t="s">
        <v>239</v>
      </c>
      <c r="C21" s="80"/>
      <c r="D21" s="70" t="s">
        <v>211</v>
      </c>
      <c r="E21" s="79"/>
      <c r="G21" s="153" t="s">
        <v>321</v>
      </c>
      <c r="H21" s="56"/>
      <c r="I21" s="79"/>
      <c r="P21" s="146"/>
      <c r="Q21" s="302" t="s">
        <v>490</v>
      </c>
      <c r="R21" s="162"/>
      <c r="S21" s="162"/>
      <c r="T21" s="162"/>
      <c r="U21" s="162"/>
      <c r="V21" s="162"/>
      <c r="W21" s="162"/>
      <c r="X21" s="162"/>
      <c r="Y21" s="162"/>
      <c r="Z21" s="162"/>
      <c r="AA21" s="162"/>
    </row>
    <row r="22" spans="1:27" s="76" customFormat="1" ht="12.9" customHeight="1" thickBot="1">
      <c r="A22" s="133" t="s">
        <v>388</v>
      </c>
      <c r="B22" s="81" t="s">
        <v>240</v>
      </c>
      <c r="C22" s="80"/>
      <c r="D22" s="54" t="s">
        <v>42</v>
      </c>
      <c r="E22" s="79"/>
      <c r="G22" s="154">
        <v>1</v>
      </c>
      <c r="H22" s="155" t="s">
        <v>322</v>
      </c>
      <c r="I22" s="157" t="s">
        <v>389</v>
      </c>
      <c r="P22" s="146"/>
      <c r="Q22" s="302" t="s">
        <v>495</v>
      </c>
      <c r="R22" s="162"/>
      <c r="S22" s="162"/>
      <c r="T22" s="162"/>
      <c r="U22" s="162"/>
      <c r="V22" s="162"/>
      <c r="W22" s="162"/>
      <c r="X22" s="162"/>
      <c r="Y22" s="162"/>
      <c r="Z22" s="162"/>
      <c r="AA22" s="162"/>
    </row>
    <row r="23" spans="1:27" s="76" customFormat="1" ht="12.9" customHeight="1" thickBot="1">
      <c r="A23" s="133" t="s">
        <v>390</v>
      </c>
      <c r="B23" s="82" t="s">
        <v>391</v>
      </c>
      <c r="C23" s="77"/>
      <c r="D23" s="40" t="s">
        <v>40</v>
      </c>
      <c r="E23" s="79"/>
      <c r="G23" s="154">
        <v>2</v>
      </c>
      <c r="H23" s="156" t="s">
        <v>392</v>
      </c>
      <c r="I23" s="157" t="s">
        <v>445</v>
      </c>
      <c r="P23" s="146"/>
      <c r="Q23" s="302" t="s">
        <v>501</v>
      </c>
      <c r="R23" s="162"/>
      <c r="S23" s="162"/>
      <c r="T23" s="162"/>
      <c r="U23" s="162"/>
      <c r="V23" s="162"/>
      <c r="W23" s="162"/>
      <c r="X23" s="162"/>
      <c r="Y23" s="162"/>
      <c r="Z23" s="162"/>
      <c r="AA23" s="162"/>
    </row>
    <row r="24" spans="1:27" s="76" customFormat="1" ht="12.9" customHeight="1" thickBot="1">
      <c r="A24" s="133" t="s">
        <v>393</v>
      </c>
      <c r="B24" s="42" t="s">
        <v>225</v>
      </c>
      <c r="C24" s="77"/>
      <c r="D24" s="54" t="s">
        <v>49</v>
      </c>
      <c r="E24" s="79"/>
      <c r="G24" s="154">
        <v>3</v>
      </c>
      <c r="H24" s="155" t="s">
        <v>394</v>
      </c>
      <c r="I24" s="157" t="s">
        <v>445</v>
      </c>
      <c r="P24" s="146"/>
      <c r="Q24" s="644" t="s">
        <v>759</v>
      </c>
      <c r="R24" s="645"/>
      <c r="S24" s="645"/>
      <c r="T24" s="645"/>
      <c r="U24" s="645"/>
      <c r="V24" s="645"/>
      <c r="W24" s="645"/>
      <c r="X24" s="645"/>
      <c r="Y24" s="645"/>
      <c r="Z24" s="645"/>
      <c r="AA24" s="645"/>
    </row>
    <row r="25" spans="1:27" s="76" customFormat="1" ht="12.9" customHeight="1" thickBot="1">
      <c r="A25" s="133" t="s">
        <v>395</v>
      </c>
      <c r="B25" s="76" t="s">
        <v>226</v>
      </c>
      <c r="D25" s="83">
        <v>0</v>
      </c>
      <c r="E25" s="78" t="s">
        <v>446</v>
      </c>
      <c r="G25" s="154">
        <v>4</v>
      </c>
      <c r="H25" s="155" t="s">
        <v>396</v>
      </c>
      <c r="I25" s="157" t="s">
        <v>447</v>
      </c>
      <c r="P25" s="146"/>
      <c r="Q25" s="644"/>
      <c r="R25" s="645"/>
      <c r="S25" s="645"/>
      <c r="T25" s="645"/>
      <c r="U25" s="645"/>
      <c r="V25" s="645"/>
      <c r="W25" s="645"/>
      <c r="X25" s="645"/>
      <c r="Y25" s="645"/>
      <c r="Z25" s="645"/>
      <c r="AA25" s="645"/>
    </row>
    <row r="26" spans="1:27" s="76" customFormat="1" ht="12.9" customHeight="1" thickBot="1">
      <c r="A26" s="133" t="s">
        <v>397</v>
      </c>
      <c r="B26" s="82" t="s">
        <v>250</v>
      </c>
      <c r="C26" s="77"/>
      <c r="D26" s="54" t="s">
        <v>49</v>
      </c>
      <c r="E26" s="79"/>
      <c r="G26" s="154">
        <v>5</v>
      </c>
      <c r="H26" s="155" t="s">
        <v>398</v>
      </c>
      <c r="I26" s="157" t="s">
        <v>445</v>
      </c>
      <c r="P26" s="146"/>
      <c r="Q26" s="644"/>
      <c r="R26" s="645"/>
      <c r="S26" s="645"/>
      <c r="T26" s="645"/>
      <c r="U26" s="645"/>
      <c r="V26" s="645"/>
      <c r="W26" s="645"/>
      <c r="X26" s="645"/>
      <c r="Y26" s="645"/>
      <c r="Z26" s="645"/>
      <c r="AA26" s="645"/>
    </row>
    <row r="27" spans="1:27" s="76" customFormat="1" ht="12.9" customHeight="1" thickBot="1">
      <c r="A27" s="134" t="s">
        <v>399</v>
      </c>
      <c r="B27" s="62" t="s">
        <v>251</v>
      </c>
      <c r="C27" s="84"/>
      <c r="D27" s="83">
        <v>0</v>
      </c>
      <c r="E27" s="85" t="s">
        <v>446</v>
      </c>
      <c r="G27" s="152"/>
      <c r="H27" s="94"/>
      <c r="I27" s="104"/>
      <c r="P27" s="146"/>
      <c r="Q27" s="644"/>
      <c r="R27" s="645"/>
      <c r="S27" s="645"/>
      <c r="T27" s="645"/>
      <c r="U27" s="645"/>
      <c r="V27" s="645"/>
      <c r="W27" s="645"/>
      <c r="X27" s="645"/>
      <c r="Y27" s="645"/>
      <c r="Z27" s="645"/>
      <c r="AA27" s="645"/>
    </row>
    <row r="28" spans="1:27" s="76" customFormat="1" ht="3" customHeight="1" thickTop="1">
      <c r="P28" s="146"/>
      <c r="Q28" s="220"/>
      <c r="R28" s="148"/>
      <c r="S28" s="148"/>
      <c r="T28" s="148"/>
      <c r="U28" s="148"/>
      <c r="V28" s="148"/>
      <c r="W28" s="148"/>
      <c r="X28" s="148"/>
      <c r="Y28" s="148"/>
      <c r="Z28" s="148"/>
      <c r="AA28" s="148"/>
    </row>
    <row r="29" spans="1:27" s="76" customFormat="1" ht="14.1" customHeight="1" thickBot="1">
      <c r="A29" s="59"/>
      <c r="B29" s="59"/>
      <c r="C29" s="60"/>
      <c r="D29" s="86" t="s">
        <v>38</v>
      </c>
      <c r="E29" s="87"/>
      <c r="F29" s="59"/>
      <c r="G29" s="60"/>
      <c r="H29" s="102" t="s">
        <v>448</v>
      </c>
      <c r="I29" s="88"/>
      <c r="J29" s="89"/>
      <c r="P29" s="146"/>
      <c r="Q29" s="220"/>
      <c r="R29" s="220"/>
      <c r="S29" s="148"/>
      <c r="T29" s="148"/>
      <c r="U29" s="148"/>
      <c r="V29" s="148"/>
      <c r="W29" s="148"/>
      <c r="X29" s="148"/>
      <c r="Y29" s="148"/>
      <c r="Z29" s="148"/>
      <c r="AA29" s="148"/>
    </row>
    <row r="30" spans="1:27" s="76" customFormat="1" ht="15.6" customHeight="1" thickTop="1" thickBot="1">
      <c r="A30" s="64" t="s">
        <v>227</v>
      </c>
      <c r="B30" s="56"/>
      <c r="C30" s="57"/>
      <c r="D30" s="56"/>
      <c r="E30" s="90"/>
      <c r="F30" s="56"/>
      <c r="G30" s="57"/>
      <c r="H30" s="103" t="s">
        <v>447</v>
      </c>
      <c r="I30" s="75"/>
      <c r="J30" s="91"/>
      <c r="P30" s="146"/>
      <c r="Q30" s="322" t="s">
        <v>760</v>
      </c>
      <c r="R30" s="220"/>
      <c r="S30" s="148"/>
      <c r="T30" s="148"/>
      <c r="U30" s="148"/>
      <c r="V30" s="148"/>
      <c r="W30" s="148"/>
      <c r="X30" s="148"/>
      <c r="Y30" s="148"/>
      <c r="Z30" s="148"/>
      <c r="AA30" s="148"/>
    </row>
    <row r="31" spans="1:27" s="76" customFormat="1" ht="12.9" customHeight="1" thickBot="1">
      <c r="A31" s="135" t="s">
        <v>400</v>
      </c>
      <c r="B31" s="42" t="s">
        <v>351</v>
      </c>
      <c r="C31" s="44"/>
      <c r="D31" s="169">
        <v>22037</v>
      </c>
      <c r="E31" s="91"/>
      <c r="F31" s="138" t="s">
        <v>401</v>
      </c>
      <c r="G31" s="57"/>
      <c r="H31" s="169">
        <v>22037</v>
      </c>
      <c r="I31" s="78"/>
      <c r="J31" s="91"/>
      <c r="P31" s="146"/>
      <c r="Q31" s="323" t="s">
        <v>762</v>
      </c>
      <c r="R31" s="220"/>
      <c r="S31" s="148"/>
      <c r="T31" s="148"/>
      <c r="U31" s="148"/>
      <c r="V31" s="148"/>
      <c r="W31" s="148"/>
      <c r="X31" s="148"/>
      <c r="Y31" s="148"/>
      <c r="Z31" s="148"/>
      <c r="AA31" s="148"/>
    </row>
    <row r="32" spans="1:27" s="76" customFormat="1" ht="12.9" customHeight="1" thickBot="1">
      <c r="A32" s="136" t="s">
        <v>402</v>
      </c>
      <c r="B32" s="42" t="s">
        <v>254</v>
      </c>
      <c r="C32" s="44"/>
      <c r="D32" s="40" t="s">
        <v>40</v>
      </c>
      <c r="E32" s="90"/>
      <c r="F32" s="139"/>
      <c r="G32" s="57"/>
      <c r="H32" s="92"/>
      <c r="I32" s="79"/>
      <c r="J32" s="91"/>
      <c r="P32" s="146"/>
      <c r="Q32" s="644" t="s">
        <v>761</v>
      </c>
      <c r="R32" s="645"/>
      <c r="S32" s="645"/>
      <c r="T32" s="645"/>
      <c r="U32" s="645"/>
      <c r="V32" s="645"/>
      <c r="W32" s="645"/>
      <c r="X32" s="645"/>
      <c r="Y32" s="645"/>
      <c r="Z32" s="645"/>
      <c r="AA32" s="645"/>
    </row>
    <row r="33" spans="1:27" s="76" customFormat="1" ht="12.9" customHeight="1" thickBot="1">
      <c r="A33" s="136" t="s">
        <v>403</v>
      </c>
      <c r="B33" s="42" t="s">
        <v>260</v>
      </c>
      <c r="C33" s="44"/>
      <c r="D33" s="40" t="s">
        <v>40</v>
      </c>
      <c r="E33" s="90"/>
      <c r="F33" s="139"/>
      <c r="G33" s="57"/>
      <c r="H33" s="92"/>
      <c r="I33" s="79"/>
      <c r="J33" s="91"/>
      <c r="P33" s="146"/>
      <c r="Q33" s="644"/>
      <c r="R33" s="645"/>
      <c r="S33" s="645"/>
      <c r="T33" s="645"/>
      <c r="U33" s="645"/>
      <c r="V33" s="645"/>
      <c r="W33" s="645"/>
      <c r="X33" s="645"/>
      <c r="Y33" s="645"/>
      <c r="Z33" s="645"/>
      <c r="AA33" s="645"/>
    </row>
    <row r="34" spans="1:27" s="76" customFormat="1" ht="12.9" customHeight="1" thickBot="1">
      <c r="A34" s="136" t="s">
        <v>404</v>
      </c>
      <c r="B34" s="43" t="s">
        <v>257</v>
      </c>
      <c r="C34" s="45"/>
      <c r="D34" s="40" t="s">
        <v>40</v>
      </c>
      <c r="E34" s="90"/>
      <c r="F34" s="139"/>
      <c r="G34" s="57"/>
      <c r="H34" s="56"/>
      <c r="I34" s="79"/>
      <c r="J34" s="91"/>
      <c r="P34" s="146"/>
      <c r="Q34" s="644"/>
      <c r="R34" s="645"/>
      <c r="S34" s="645"/>
      <c r="T34" s="645"/>
      <c r="U34" s="645"/>
      <c r="V34" s="645"/>
      <c r="W34" s="645"/>
      <c r="X34" s="645"/>
      <c r="Y34" s="645"/>
      <c r="Z34" s="645"/>
      <c r="AA34" s="645"/>
    </row>
    <row r="35" spans="1:27" s="76" customFormat="1" ht="12.9" customHeight="1" thickBot="1">
      <c r="A35" s="136" t="s">
        <v>405</v>
      </c>
      <c r="B35" s="42" t="s">
        <v>239</v>
      </c>
      <c r="C35" s="44"/>
      <c r="D35" s="41" t="s">
        <v>44</v>
      </c>
      <c r="E35" s="90"/>
      <c r="F35" s="140" t="s">
        <v>406</v>
      </c>
      <c r="G35" s="57"/>
      <c r="H35" s="41" t="s">
        <v>44</v>
      </c>
      <c r="I35" s="79"/>
      <c r="J35" s="91"/>
      <c r="P35" s="146"/>
      <c r="Q35" s="220" t="s">
        <v>313</v>
      </c>
      <c r="R35" s="220"/>
      <c r="S35" s="220"/>
      <c r="T35" s="220"/>
      <c r="U35" s="220"/>
      <c r="V35" s="220"/>
      <c r="W35" s="220"/>
      <c r="X35" s="220"/>
      <c r="Y35" s="220"/>
      <c r="Z35" s="220"/>
      <c r="AA35" s="220"/>
    </row>
    <row r="36" spans="1:27" s="76" customFormat="1" ht="12.9" customHeight="1" thickBot="1">
      <c r="A36" s="137" t="s">
        <v>407</v>
      </c>
      <c r="B36" s="62" t="s">
        <v>241</v>
      </c>
      <c r="C36" s="63"/>
      <c r="D36" s="41" t="s">
        <v>46</v>
      </c>
      <c r="E36" s="93"/>
      <c r="F36" s="94"/>
      <c r="G36" s="99"/>
      <c r="H36" s="105"/>
      <c r="I36" s="104"/>
      <c r="J36" s="91"/>
      <c r="P36" s="146"/>
      <c r="Q36" s="220" t="s">
        <v>497</v>
      </c>
      <c r="R36" s="220"/>
      <c r="S36" s="220"/>
      <c r="T36" s="220"/>
      <c r="U36" s="220"/>
      <c r="V36" s="220"/>
      <c r="W36" s="220"/>
      <c r="X36" s="220"/>
      <c r="Y36" s="220"/>
      <c r="Z36" s="220"/>
      <c r="AA36" s="220"/>
    </row>
    <row r="37" spans="1:27" s="123" customFormat="1" ht="11.25" customHeight="1" thickTop="1" thickBot="1">
      <c r="A37" s="117" t="s">
        <v>449</v>
      </c>
      <c r="B37" s="118"/>
      <c r="C37" s="119"/>
      <c r="D37" s="118"/>
      <c r="E37" s="120"/>
      <c r="F37" s="118"/>
      <c r="G37" s="119"/>
      <c r="H37" s="121"/>
      <c r="I37" s="118"/>
      <c r="J37" s="122"/>
      <c r="P37" s="147"/>
      <c r="Q37" s="220"/>
      <c r="R37" s="220"/>
      <c r="S37" s="220"/>
      <c r="T37" s="220"/>
      <c r="U37" s="220"/>
      <c r="V37" s="220"/>
      <c r="W37" s="220"/>
      <c r="X37" s="220"/>
      <c r="Y37" s="220"/>
      <c r="Z37" s="220"/>
      <c r="AA37" s="220"/>
    </row>
    <row r="38" spans="1:27" s="76" customFormat="1" ht="15.6" customHeight="1" thickTop="1" thickBot="1">
      <c r="A38" s="64" t="s">
        <v>228</v>
      </c>
      <c r="B38" s="56"/>
      <c r="C38" s="57"/>
      <c r="D38" s="56"/>
      <c r="E38" s="90"/>
      <c r="F38" s="56"/>
      <c r="G38" s="57"/>
      <c r="H38" s="103" t="s">
        <v>447</v>
      </c>
      <c r="I38" s="75"/>
      <c r="J38" s="91"/>
      <c r="P38" s="146"/>
      <c r="Q38" s="644" t="s">
        <v>763</v>
      </c>
      <c r="R38" s="645"/>
      <c r="S38" s="645"/>
      <c r="T38" s="645"/>
      <c r="U38" s="645"/>
      <c r="V38" s="645"/>
      <c r="W38" s="645"/>
      <c r="X38" s="645"/>
      <c r="Y38" s="645"/>
      <c r="Z38" s="645"/>
      <c r="AA38" s="645"/>
    </row>
    <row r="39" spans="1:27" s="76" customFormat="1" ht="12.9" customHeight="1" thickBot="1">
      <c r="A39" s="135" t="s">
        <v>408</v>
      </c>
      <c r="B39" s="42" t="s">
        <v>217</v>
      </c>
      <c r="C39" s="44"/>
      <c r="D39" s="54" t="s">
        <v>310</v>
      </c>
      <c r="E39" s="90"/>
      <c r="F39" s="138" t="s">
        <v>409</v>
      </c>
      <c r="G39" s="57"/>
      <c r="H39" s="54" t="s">
        <v>49</v>
      </c>
      <c r="I39" s="79"/>
      <c r="J39" s="91"/>
      <c r="P39" s="146"/>
      <c r="Q39" s="644"/>
      <c r="R39" s="645"/>
      <c r="S39" s="645"/>
      <c r="T39" s="645"/>
      <c r="U39" s="645"/>
      <c r="V39" s="645"/>
      <c r="W39" s="645"/>
      <c r="X39" s="645"/>
      <c r="Y39" s="645"/>
      <c r="Z39" s="645"/>
      <c r="AA39" s="645"/>
    </row>
    <row r="40" spans="1:27" s="76" customFormat="1" ht="12.9" customHeight="1" thickBot="1">
      <c r="A40" s="136" t="s">
        <v>410</v>
      </c>
      <c r="B40" s="42" t="s">
        <v>219</v>
      </c>
      <c r="C40" s="44"/>
      <c r="D40" s="83">
        <v>42000</v>
      </c>
      <c r="E40" s="91" t="s">
        <v>450</v>
      </c>
      <c r="F40" s="140" t="s">
        <v>411</v>
      </c>
      <c r="G40" s="57"/>
      <c r="H40" s="83">
        <v>2700000</v>
      </c>
      <c r="I40" s="78" t="s">
        <v>446</v>
      </c>
      <c r="J40" s="91"/>
      <c r="P40" s="146"/>
      <c r="Q40" s="644"/>
      <c r="R40" s="645"/>
      <c r="S40" s="645"/>
      <c r="T40" s="645"/>
      <c r="U40" s="645"/>
      <c r="V40" s="645"/>
      <c r="W40" s="645"/>
      <c r="X40" s="645"/>
      <c r="Y40" s="645"/>
      <c r="Z40" s="645"/>
      <c r="AA40" s="645"/>
    </row>
    <row r="41" spans="1:27" s="76" customFormat="1" ht="12.9" customHeight="1" thickBot="1">
      <c r="A41" s="136" t="s">
        <v>412</v>
      </c>
      <c r="B41" s="42" t="s">
        <v>218</v>
      </c>
      <c r="C41" s="44"/>
      <c r="D41" s="54" t="s">
        <v>310</v>
      </c>
      <c r="E41" s="90"/>
      <c r="F41" s="140" t="s">
        <v>413</v>
      </c>
      <c r="G41" s="57"/>
      <c r="H41" s="54" t="s">
        <v>49</v>
      </c>
      <c r="I41" s="79"/>
      <c r="J41" s="91"/>
      <c r="P41" s="146"/>
      <c r="Q41" s="644"/>
      <c r="R41" s="645"/>
      <c r="S41" s="645"/>
      <c r="T41" s="645"/>
      <c r="U41" s="645"/>
      <c r="V41" s="645"/>
      <c r="W41" s="645"/>
      <c r="X41" s="645"/>
      <c r="Y41" s="645"/>
      <c r="Z41" s="645"/>
      <c r="AA41" s="645"/>
    </row>
    <row r="42" spans="1:27" s="76" customFormat="1" ht="12.9" customHeight="1" thickBot="1">
      <c r="A42" s="136" t="s">
        <v>414</v>
      </c>
      <c r="B42" s="42" t="s">
        <v>220</v>
      </c>
      <c r="C42" s="44"/>
      <c r="D42" s="83">
        <v>0</v>
      </c>
      <c r="E42" s="91" t="s">
        <v>450</v>
      </c>
      <c r="F42" s="140" t="s">
        <v>415</v>
      </c>
      <c r="G42" s="57"/>
      <c r="H42" s="83">
        <v>0</v>
      </c>
      <c r="I42" s="97" t="s">
        <v>446</v>
      </c>
      <c r="J42" s="91"/>
      <c r="P42" s="146"/>
      <c r="Q42" s="644"/>
      <c r="R42" s="645"/>
      <c r="S42" s="645"/>
      <c r="T42" s="645"/>
      <c r="U42" s="645"/>
      <c r="V42" s="645"/>
      <c r="W42" s="645"/>
      <c r="X42" s="645"/>
      <c r="Y42" s="645"/>
      <c r="Z42" s="645"/>
      <c r="AA42" s="645"/>
    </row>
    <row r="43" spans="1:27" s="76" customFormat="1" ht="12.9" customHeight="1" thickBot="1">
      <c r="A43" s="136" t="s">
        <v>416</v>
      </c>
      <c r="B43" s="42" t="s">
        <v>248</v>
      </c>
      <c r="C43" s="44"/>
      <c r="D43" s="54" t="s">
        <v>310</v>
      </c>
      <c r="E43" s="90"/>
      <c r="F43" s="140" t="s">
        <v>417</v>
      </c>
      <c r="G43" s="57"/>
      <c r="H43" s="54" t="s">
        <v>49</v>
      </c>
      <c r="I43" s="98"/>
      <c r="J43" s="91"/>
      <c r="P43" s="146"/>
      <c r="Q43" s="644"/>
      <c r="R43" s="645"/>
      <c r="S43" s="645"/>
      <c r="T43" s="645"/>
      <c r="U43" s="645"/>
      <c r="V43" s="645"/>
      <c r="W43" s="645"/>
      <c r="X43" s="645"/>
      <c r="Y43" s="645"/>
      <c r="Z43" s="645"/>
      <c r="AA43" s="645"/>
    </row>
    <row r="44" spans="1:27" s="76" customFormat="1" ht="12.9" customHeight="1" thickBot="1">
      <c r="A44" s="137" t="s">
        <v>418</v>
      </c>
      <c r="B44" s="66" t="s">
        <v>249</v>
      </c>
      <c r="C44" s="51"/>
      <c r="D44" s="83">
        <v>3500</v>
      </c>
      <c r="E44" s="93" t="s">
        <v>450</v>
      </c>
      <c r="F44" s="142" t="s">
        <v>419</v>
      </c>
      <c r="G44" s="95"/>
      <c r="H44" s="83">
        <v>0</v>
      </c>
      <c r="I44" s="97" t="s">
        <v>446</v>
      </c>
      <c r="J44" s="91"/>
      <c r="P44" s="146"/>
      <c r="Q44" s="644"/>
      <c r="R44" s="645"/>
      <c r="S44" s="645"/>
      <c r="T44" s="645"/>
      <c r="U44" s="645"/>
      <c r="V44" s="645"/>
      <c r="W44" s="645"/>
      <c r="X44" s="645"/>
      <c r="Y44" s="645"/>
      <c r="Z44" s="645"/>
      <c r="AA44" s="645"/>
    </row>
    <row r="45" spans="1:27" s="76" customFormat="1" ht="6" customHeight="1" thickTop="1" thickBot="1">
      <c r="A45" s="59"/>
      <c r="B45" s="59"/>
      <c r="C45" s="65"/>
      <c r="D45" s="59"/>
      <c r="E45" s="96"/>
      <c r="F45" s="59"/>
      <c r="G45" s="65"/>
      <c r="H45" s="59"/>
      <c r="I45" s="100"/>
      <c r="J45" s="91"/>
      <c r="P45" s="146"/>
      <c r="Q45" s="644"/>
      <c r="R45" s="645"/>
      <c r="S45" s="645"/>
      <c r="T45" s="645"/>
      <c r="U45" s="645"/>
      <c r="V45" s="645"/>
      <c r="W45" s="645"/>
      <c r="X45" s="645"/>
      <c r="Y45" s="645"/>
      <c r="Z45" s="645"/>
      <c r="AA45" s="645"/>
    </row>
    <row r="46" spans="1:27" s="76" customFormat="1" ht="15.6" customHeight="1" thickTop="1" thickBot="1">
      <c r="A46" s="67" t="s">
        <v>256</v>
      </c>
      <c r="B46" s="56"/>
      <c r="C46" s="57"/>
      <c r="D46" s="56"/>
      <c r="E46" s="90"/>
      <c r="F46" s="56"/>
      <c r="G46" s="57"/>
      <c r="H46" s="103" t="s">
        <v>447</v>
      </c>
      <c r="I46" s="75"/>
      <c r="J46" s="91"/>
      <c r="P46" s="146"/>
      <c r="Q46" s="644"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47)&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2026年１月分の報告省令レート（ただし、米ドルと日本円間のレートについては同年１月１日時点の最新の為替レート）を用いてください。</v>
      </c>
      <c r="R46" s="650"/>
      <c r="S46" s="650"/>
      <c r="T46" s="650"/>
      <c r="U46" s="650"/>
      <c r="V46" s="650"/>
      <c r="W46" s="650"/>
      <c r="X46" s="650"/>
      <c r="Y46" s="650"/>
      <c r="Z46" s="650"/>
      <c r="AA46" s="650"/>
    </row>
    <row r="47" spans="1:27" s="76" customFormat="1" ht="12.9" customHeight="1" thickBot="1">
      <c r="A47" s="136" t="s">
        <v>420</v>
      </c>
      <c r="B47" s="42" t="s">
        <v>0</v>
      </c>
      <c r="C47" s="44"/>
      <c r="D47" s="40">
        <v>0</v>
      </c>
      <c r="E47" s="91" t="s">
        <v>48</v>
      </c>
      <c r="F47" s="138" t="s">
        <v>421</v>
      </c>
      <c r="G47" s="57"/>
      <c r="H47" s="40">
        <v>2</v>
      </c>
      <c r="I47" s="78" t="s">
        <v>48</v>
      </c>
      <c r="J47" s="91"/>
      <c r="P47" s="146"/>
      <c r="Q47" s="651"/>
      <c r="R47" s="650"/>
      <c r="S47" s="650"/>
      <c r="T47" s="650"/>
      <c r="U47" s="650"/>
      <c r="V47" s="650"/>
      <c r="W47" s="650"/>
      <c r="X47" s="650"/>
      <c r="Y47" s="650"/>
      <c r="Z47" s="650"/>
      <c r="AA47" s="650"/>
    </row>
    <row r="48" spans="1:27" s="76" customFormat="1" ht="12.9" customHeight="1" thickBot="1">
      <c r="A48" s="136" t="s">
        <v>422</v>
      </c>
      <c r="B48" s="42" t="s">
        <v>1</v>
      </c>
      <c r="C48" s="44"/>
      <c r="D48" s="40">
        <v>0</v>
      </c>
      <c r="E48" s="91" t="s">
        <v>48</v>
      </c>
      <c r="F48" s="140" t="s">
        <v>423</v>
      </c>
      <c r="G48" s="57"/>
      <c r="H48" s="40">
        <v>0</v>
      </c>
      <c r="I48" s="78" t="s">
        <v>48</v>
      </c>
      <c r="J48" s="91"/>
      <c r="P48" s="146"/>
      <c r="Q48" s="651"/>
      <c r="R48" s="650"/>
      <c r="S48" s="650"/>
      <c r="T48" s="650"/>
      <c r="U48" s="650"/>
      <c r="V48" s="650"/>
      <c r="W48" s="650"/>
      <c r="X48" s="650"/>
      <c r="Y48" s="650"/>
      <c r="Z48" s="650"/>
      <c r="AA48" s="650"/>
    </row>
    <row r="49" spans="1:27" s="76" customFormat="1" ht="12.9" customHeight="1" thickBot="1">
      <c r="A49" s="136" t="s">
        <v>424</v>
      </c>
      <c r="B49" s="42" t="s">
        <v>2</v>
      </c>
      <c r="C49" s="44"/>
      <c r="D49" s="40">
        <v>1</v>
      </c>
      <c r="E49" s="91" t="s">
        <v>48</v>
      </c>
      <c r="F49" s="140" t="s">
        <v>425</v>
      </c>
      <c r="G49" s="57"/>
      <c r="H49" s="40">
        <v>0</v>
      </c>
      <c r="I49" s="78" t="s">
        <v>48</v>
      </c>
      <c r="J49" s="91"/>
      <c r="P49" s="146"/>
      <c r="Q49" s="651"/>
      <c r="R49" s="650"/>
      <c r="S49" s="650"/>
      <c r="T49" s="650"/>
      <c r="U49" s="650"/>
      <c r="V49" s="650"/>
      <c r="W49" s="650"/>
      <c r="X49" s="650"/>
      <c r="Y49" s="650"/>
      <c r="Z49" s="650"/>
      <c r="AA49" s="650"/>
    </row>
    <row r="50" spans="1:27" s="76" customFormat="1" ht="12.9" customHeight="1" thickBot="1">
      <c r="A50" s="136" t="s">
        <v>426</v>
      </c>
      <c r="B50" s="42" t="s">
        <v>3</v>
      </c>
      <c r="C50" s="44"/>
      <c r="D50" s="40">
        <v>0</v>
      </c>
      <c r="E50" s="91" t="s">
        <v>48</v>
      </c>
      <c r="F50" s="140" t="s">
        <v>427</v>
      </c>
      <c r="G50" s="57"/>
      <c r="H50" s="40">
        <v>0</v>
      </c>
      <c r="I50" s="78" t="s">
        <v>48</v>
      </c>
      <c r="J50" s="91"/>
      <c r="P50" s="146"/>
      <c r="Q50" s="644" t="s">
        <v>498</v>
      </c>
      <c r="R50" s="645"/>
      <c r="S50" s="645"/>
      <c r="T50" s="645"/>
      <c r="U50" s="645"/>
      <c r="V50" s="645"/>
      <c r="W50" s="645"/>
      <c r="X50" s="645"/>
      <c r="Y50" s="645"/>
      <c r="Z50" s="645"/>
      <c r="AA50" s="645"/>
    </row>
    <row r="51" spans="1:27" s="76" customFormat="1" ht="12.9" customHeight="1" thickBot="1">
      <c r="A51" s="136" t="s">
        <v>428</v>
      </c>
      <c r="B51" s="42" t="s">
        <v>4</v>
      </c>
      <c r="C51" s="44"/>
      <c r="D51" s="40">
        <v>0</v>
      </c>
      <c r="E51" s="91" t="s">
        <v>48</v>
      </c>
      <c r="F51" s="140" t="s">
        <v>429</v>
      </c>
      <c r="G51" s="57"/>
      <c r="H51" s="40">
        <v>0</v>
      </c>
      <c r="I51" s="78" t="s">
        <v>48</v>
      </c>
      <c r="J51" s="91"/>
      <c r="P51" s="146"/>
      <c r="Q51" s="644"/>
      <c r="R51" s="645"/>
      <c r="S51" s="645"/>
      <c r="T51" s="645"/>
      <c r="U51" s="645"/>
      <c r="V51" s="645"/>
      <c r="W51" s="645"/>
      <c r="X51" s="645"/>
      <c r="Y51" s="645"/>
      <c r="Z51" s="645"/>
      <c r="AA51" s="645"/>
    </row>
    <row r="52" spans="1:27" s="76" customFormat="1" ht="12.9" customHeight="1" thickBot="1">
      <c r="A52" s="136" t="s">
        <v>430</v>
      </c>
      <c r="B52" s="42" t="s">
        <v>5</v>
      </c>
      <c r="C52" s="44"/>
      <c r="D52" s="40">
        <v>0</v>
      </c>
      <c r="E52" s="91" t="s">
        <v>48</v>
      </c>
      <c r="F52" s="140" t="s">
        <v>431</v>
      </c>
      <c r="G52" s="57"/>
      <c r="H52" s="40">
        <v>0</v>
      </c>
      <c r="I52" s="78" t="s">
        <v>48</v>
      </c>
      <c r="J52" s="91"/>
      <c r="P52" s="146"/>
      <c r="Q52" s="644"/>
      <c r="R52" s="645"/>
      <c r="S52" s="645"/>
      <c r="T52" s="645"/>
      <c r="U52" s="645"/>
      <c r="V52" s="645"/>
      <c r="W52" s="645"/>
      <c r="X52" s="645"/>
      <c r="Y52" s="645"/>
      <c r="Z52" s="645"/>
      <c r="AA52" s="645"/>
    </row>
    <row r="53" spans="1:27" s="76" customFormat="1" ht="12.9" customHeight="1" thickBot="1">
      <c r="A53" s="136" t="s">
        <v>432</v>
      </c>
      <c r="B53" s="42" t="s">
        <v>244</v>
      </c>
      <c r="C53" s="44"/>
      <c r="D53" s="40">
        <v>0</v>
      </c>
      <c r="E53" s="91" t="s">
        <v>48</v>
      </c>
      <c r="F53" s="140" t="s">
        <v>433</v>
      </c>
      <c r="G53" s="57"/>
      <c r="H53" s="40">
        <v>0</v>
      </c>
      <c r="I53" s="78" t="s">
        <v>48</v>
      </c>
      <c r="J53" s="91"/>
      <c r="P53" s="146"/>
      <c r="Q53" s="644" t="s">
        <v>339</v>
      </c>
      <c r="R53" s="645"/>
      <c r="S53" s="645"/>
      <c r="T53" s="645"/>
      <c r="U53" s="645"/>
      <c r="V53" s="645"/>
      <c r="W53" s="645"/>
      <c r="X53" s="645"/>
      <c r="Y53" s="645"/>
      <c r="Z53" s="645"/>
      <c r="AA53" s="645"/>
    </row>
    <row r="54" spans="1:27" s="76" customFormat="1" ht="12.9" customHeight="1" thickBot="1">
      <c r="A54" s="136" t="s">
        <v>434</v>
      </c>
      <c r="B54" s="389" t="s">
        <v>245</v>
      </c>
      <c r="C54" s="46"/>
      <c r="D54" s="40">
        <v>0</v>
      </c>
      <c r="E54" s="91" t="s">
        <v>48</v>
      </c>
      <c r="F54" s="140" t="s">
        <v>435</v>
      </c>
      <c r="G54" s="57"/>
      <c r="H54" s="40">
        <v>0</v>
      </c>
      <c r="I54" s="78" t="s">
        <v>48</v>
      </c>
      <c r="J54" s="91"/>
      <c r="P54" s="146"/>
      <c r="Q54" s="644"/>
      <c r="R54" s="645"/>
      <c r="S54" s="645"/>
      <c r="T54" s="645"/>
      <c r="U54" s="645"/>
      <c r="V54" s="645"/>
      <c r="W54" s="645"/>
      <c r="X54" s="645"/>
      <c r="Y54" s="645"/>
      <c r="Z54" s="645"/>
      <c r="AA54" s="645"/>
    </row>
    <row r="55" spans="1:27" s="76" customFormat="1" ht="12.9" customHeight="1" thickBot="1">
      <c r="A55" s="137" t="s">
        <v>436</v>
      </c>
      <c r="B55" s="101" t="s">
        <v>246</v>
      </c>
      <c r="C55" s="63"/>
      <c r="D55" s="40">
        <v>0</v>
      </c>
      <c r="E55" s="93" t="s">
        <v>48</v>
      </c>
      <c r="F55" s="143" t="s">
        <v>437</v>
      </c>
      <c r="G55" s="95"/>
      <c r="H55" s="40">
        <v>0</v>
      </c>
      <c r="I55" s="85" t="s">
        <v>48</v>
      </c>
      <c r="J55" s="91"/>
      <c r="P55" s="146"/>
      <c r="Q55" s="644"/>
      <c r="R55" s="645"/>
      <c r="S55" s="645"/>
      <c r="T55" s="645"/>
      <c r="U55" s="645"/>
      <c r="V55" s="645"/>
      <c r="W55" s="645"/>
      <c r="X55" s="645"/>
      <c r="Y55" s="645"/>
      <c r="Z55" s="645"/>
      <c r="AA55" s="645"/>
    </row>
    <row r="56" spans="1:27" ht="6" customHeight="1" thickTop="1">
      <c r="C56" s="47"/>
      <c r="D56" s="48"/>
      <c r="E56" s="49"/>
      <c r="G56" s="47"/>
      <c r="H56" s="50"/>
      <c r="I56" s="50"/>
      <c r="J56" s="49"/>
      <c r="P56" s="145"/>
      <c r="Q56" s="148"/>
      <c r="R56" s="148"/>
      <c r="S56" s="148"/>
      <c r="T56" s="148"/>
      <c r="U56" s="148"/>
      <c r="V56" s="148"/>
      <c r="W56" s="148"/>
      <c r="X56" s="148"/>
      <c r="Y56" s="148"/>
      <c r="Z56" s="148"/>
      <c r="AA56" s="148"/>
    </row>
    <row r="57" spans="1:27" ht="6.75" customHeight="1">
      <c r="P57" s="145"/>
      <c r="Q57" s="148"/>
      <c r="R57" s="148"/>
      <c r="S57" s="148"/>
      <c r="T57" s="148"/>
      <c r="U57" s="148"/>
      <c r="V57" s="148"/>
      <c r="W57" s="148"/>
      <c r="X57" s="148"/>
      <c r="Y57" s="148"/>
      <c r="Z57" s="148"/>
      <c r="AA57" s="148"/>
    </row>
    <row r="58" spans="1:27">
      <c r="B58" t="s">
        <v>252</v>
      </c>
      <c r="P58" s="145"/>
      <c r="Q58" s="148" t="s">
        <v>492</v>
      </c>
      <c r="R58" s="148"/>
      <c r="S58" s="148"/>
      <c r="T58" s="148"/>
      <c r="U58" s="148"/>
      <c r="V58" s="148"/>
      <c r="W58" s="148"/>
      <c r="X58" s="148"/>
      <c r="Y58" s="148"/>
      <c r="Z58" s="148"/>
      <c r="AA58" s="148"/>
    </row>
    <row r="59" spans="1:27" ht="13.5" customHeight="1">
      <c r="B59" s="73" t="str">
        <f>"１　国外に居住している全ての"&amp;IF(計算シート!C69=0,"生計維持者","本人及び配偶者")&amp;"の情報を入力したうえで印刷し、収入等の証明書類（和訳付）を添付してください。扶養親族がいる"</f>
        <v>１　国外に居住している全ての生計維持者の情報を入力したうえで印刷し、収入等の証明書類（和訳付）を添付してください。扶養親族がいる</v>
      </c>
      <c r="P59" s="145"/>
      <c r="Q59" s="644" t="s">
        <v>503</v>
      </c>
      <c r="R59" s="645"/>
      <c r="S59" s="645"/>
      <c r="T59" s="645"/>
      <c r="U59" s="645"/>
      <c r="V59" s="645"/>
      <c r="W59" s="645"/>
      <c r="X59" s="645"/>
      <c r="Y59" s="645"/>
      <c r="Z59" s="645"/>
      <c r="AA59" s="645"/>
    </row>
    <row r="60" spans="1:27" ht="13.5" customHeight="1">
      <c r="B60" s="74" t="str">
        <f>"　場合、"&amp;IF(計算シート!C69=0,"生計維持","扶養")&amp;"者との関係を明らかにする書類も必要です。国内に居住している"&amp;IF(計算シート!C69=0,"生計維持者","本人又は配偶者")&amp;"については、マイナンバーを提出してください。"</f>
        <v>　場合、生計維持者との関係を明らかにする書類も必要です。国内に居住している生計維持者については、マイナンバーを提出してください。</v>
      </c>
      <c r="P60" s="145"/>
      <c r="Q60" s="644"/>
      <c r="R60" s="645"/>
      <c r="S60" s="645"/>
      <c r="T60" s="645"/>
      <c r="U60" s="645"/>
      <c r="V60" s="645"/>
      <c r="W60" s="645"/>
      <c r="X60" s="645"/>
      <c r="Y60" s="645"/>
      <c r="Z60" s="645"/>
      <c r="AA60" s="645"/>
    </row>
    <row r="61" spans="1:27">
      <c r="B61"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P61" s="145"/>
      <c r="Q61" s="644"/>
      <c r="R61" s="645"/>
      <c r="S61" s="645"/>
      <c r="T61" s="645"/>
      <c r="U61" s="645"/>
      <c r="V61" s="645"/>
      <c r="W61" s="645"/>
      <c r="X61" s="645"/>
      <c r="Y61" s="645"/>
      <c r="Z61" s="645"/>
      <c r="AA61" s="645"/>
    </row>
    <row r="62" spans="1:27" ht="13.5" customHeight="1">
      <c r="B62"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P62" s="145"/>
      <c r="Q62" s="644"/>
      <c r="R62" s="645"/>
      <c r="S62" s="645"/>
      <c r="T62" s="645"/>
      <c r="U62" s="645"/>
      <c r="V62" s="645"/>
      <c r="W62" s="645"/>
      <c r="X62" s="645"/>
      <c r="Y62" s="645"/>
      <c r="Z62" s="645"/>
      <c r="AA62" s="645"/>
    </row>
    <row r="63" spans="1:27" ht="13.5" customHeight="1">
      <c r="B63" s="74" t="s">
        <v>355</v>
      </c>
      <c r="P63" s="145"/>
      <c r="Q63" s="644" t="s">
        <v>502</v>
      </c>
      <c r="R63" s="645"/>
      <c r="S63" s="645"/>
      <c r="T63" s="645"/>
      <c r="U63" s="645"/>
      <c r="V63" s="645"/>
      <c r="W63" s="645"/>
      <c r="X63" s="645"/>
      <c r="Y63" s="645"/>
      <c r="Z63" s="645"/>
      <c r="AA63" s="645"/>
    </row>
    <row r="64" spans="1:27">
      <c r="B64" s="74" t="s">
        <v>247</v>
      </c>
      <c r="P64" s="145"/>
      <c r="Q64" s="644"/>
      <c r="R64" s="645"/>
      <c r="S64" s="645"/>
      <c r="T64" s="645"/>
      <c r="U64" s="645"/>
      <c r="V64" s="645"/>
      <c r="W64" s="645"/>
      <c r="X64" s="645"/>
      <c r="Y64" s="645"/>
      <c r="Z64" s="645"/>
      <c r="AA64" s="645"/>
    </row>
    <row r="65" spans="1:27">
      <c r="B65" s="274" t="str">
        <f>"　また、「扶養親族」とは、"&amp;IF(計算シート!C69=0,"生計維持者","扶養者")&amp;"の配偶者でない６親等内の血族又は３親等内の姻族で、他者の扶養親族になっておらず、合計所得金額が"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Q65" s="644"/>
      <c r="R65" s="645"/>
      <c r="S65" s="645"/>
      <c r="T65" s="645"/>
      <c r="U65" s="645"/>
      <c r="V65" s="645"/>
      <c r="W65" s="645"/>
      <c r="X65" s="645"/>
      <c r="Y65" s="645"/>
      <c r="Z65" s="645"/>
      <c r="AA65" s="645"/>
    </row>
    <row r="66" spans="1:27">
      <c r="B66" s="274" t="str">
        <f>"　48万円以下の、"&amp;IF(計算シート!C69=0,"生計維持者","扶養者")&amp;"と生計を一にしている者（住所は同一である必要はありません。）をいいますので、該当する者を申告してください。"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Q66" s="644"/>
      <c r="R66" s="645"/>
      <c r="S66" s="645"/>
      <c r="T66" s="645"/>
      <c r="U66" s="645"/>
      <c r="V66" s="645"/>
      <c r="W66" s="645"/>
      <c r="X66" s="645"/>
      <c r="Y66" s="645"/>
      <c r="Z66" s="645"/>
      <c r="AA66" s="645"/>
    </row>
    <row r="67" spans="1:27" ht="10.5" customHeight="1">
      <c r="A67" s="116"/>
      <c r="B67" s="158" t="s">
        <v>356</v>
      </c>
      <c r="C67" s="116"/>
      <c r="D67" s="116"/>
      <c r="E67" s="116"/>
      <c r="F67" s="116"/>
      <c r="G67" s="116"/>
      <c r="H67" s="116"/>
      <c r="I67" s="116"/>
      <c r="J67" s="116"/>
      <c r="K67" s="116"/>
      <c r="L67" s="116"/>
      <c r="M67" s="116"/>
      <c r="N67" s="116"/>
      <c r="O67" s="116"/>
      <c r="P67" s="116"/>
      <c r="Q67" s="644"/>
      <c r="R67" s="645"/>
      <c r="S67" s="645"/>
      <c r="T67" s="645"/>
      <c r="U67" s="645"/>
      <c r="V67" s="645"/>
      <c r="W67" s="645"/>
      <c r="X67" s="645"/>
      <c r="Y67" s="645"/>
      <c r="Z67" s="645"/>
      <c r="AA67" s="645"/>
    </row>
    <row r="68" spans="1:27" ht="10.5" customHeight="1">
      <c r="B68" t="s">
        <v>243</v>
      </c>
      <c r="Q68" s="644"/>
      <c r="R68" s="645"/>
      <c r="S68" s="645"/>
      <c r="T68" s="645"/>
      <c r="U68" s="645"/>
      <c r="V68" s="645"/>
      <c r="W68" s="645"/>
      <c r="X68" s="645"/>
      <c r="Y68" s="645"/>
      <c r="Z68" s="645"/>
      <c r="AA68" s="645"/>
    </row>
    <row r="69" spans="1:27" ht="13.5" customHeight="1">
      <c r="A69" s="71"/>
      <c r="B69" s="106" t="s">
        <v>438</v>
      </c>
      <c r="C69" s="107"/>
      <c r="D69" s="108">
        <v>0</v>
      </c>
      <c r="E69" s="109"/>
      <c r="F69" s="652"/>
      <c r="G69" s="653"/>
      <c r="H69" s="653"/>
      <c r="I69" s="654"/>
      <c r="P69" s="145"/>
      <c r="Q69" s="644" t="s">
        <v>504</v>
      </c>
      <c r="R69" s="645"/>
      <c r="S69" s="645"/>
      <c r="T69" s="645"/>
      <c r="U69" s="645"/>
      <c r="V69" s="645"/>
      <c r="W69" s="645"/>
      <c r="X69" s="645"/>
      <c r="Y69" s="645"/>
      <c r="Z69" s="645"/>
      <c r="AA69" s="645"/>
    </row>
    <row r="70" spans="1:27" ht="10.5" customHeight="1">
      <c r="A70" s="72"/>
      <c r="B70" s="110" t="s">
        <v>439</v>
      </c>
      <c r="C70" s="111"/>
      <c r="D70" s="112">
        <v>0</v>
      </c>
      <c r="E70" s="113"/>
      <c r="F70" s="114"/>
      <c r="G70" s="114"/>
      <c r="H70" s="112">
        <v>0</v>
      </c>
      <c r="I70" s="115"/>
      <c r="P70" s="145"/>
      <c r="Q70" s="644"/>
      <c r="R70" s="645"/>
      <c r="S70" s="645"/>
      <c r="T70" s="645"/>
      <c r="U70" s="645"/>
      <c r="V70" s="645"/>
      <c r="W70" s="645"/>
      <c r="X70" s="645"/>
      <c r="Y70" s="645"/>
      <c r="Z70" s="645"/>
      <c r="AA70" s="645"/>
    </row>
    <row r="71" spans="1:27" ht="10.5" customHeight="1">
      <c r="B71" s="124" t="s">
        <v>440</v>
      </c>
      <c r="C71" s="125"/>
      <c r="D71" s="126">
        <v>0</v>
      </c>
      <c r="E71" s="109"/>
      <c r="F71" s="107"/>
      <c r="G71" s="107"/>
      <c r="H71" s="126">
        <v>0</v>
      </c>
      <c r="I71" s="127"/>
      <c r="P71" s="145"/>
      <c r="Q71" s="274" t="s">
        <v>363</v>
      </c>
      <c r="R71" s="304"/>
      <c r="S71" s="304"/>
      <c r="T71" s="304"/>
      <c r="U71" s="304"/>
      <c r="V71" s="304"/>
      <c r="W71" s="304"/>
      <c r="X71" s="304"/>
      <c r="Y71" s="304"/>
      <c r="Z71" s="304"/>
      <c r="AA71" s="304"/>
    </row>
    <row r="72" spans="1:27" ht="10.5" customHeight="1">
      <c r="B72" s="110" t="s">
        <v>441</v>
      </c>
      <c r="C72" s="111"/>
      <c r="D72" s="112">
        <v>0</v>
      </c>
      <c r="E72" s="113"/>
      <c r="F72" s="114"/>
      <c r="G72" s="114"/>
      <c r="H72" s="112">
        <v>0</v>
      </c>
      <c r="I72" s="115"/>
      <c r="P72" s="319">
        <f>MAX(修正履歴!A:A)</f>
        <v>46086</v>
      </c>
      <c r="Q72" s="274" t="s">
        <v>505</v>
      </c>
      <c r="R72" s="304"/>
      <c r="S72" s="304"/>
      <c r="T72" s="304"/>
      <c r="U72" s="304"/>
      <c r="V72" s="304"/>
      <c r="W72" s="304"/>
      <c r="X72" s="304"/>
      <c r="Y72" s="304"/>
      <c r="Z72" s="304"/>
      <c r="AA72" s="304"/>
    </row>
    <row r="73" spans="1:27" ht="10.5" customHeight="1"/>
  </sheetData>
  <protectedRanges>
    <protectedRange sqref="H8" name="範囲1"/>
    <protectedRange sqref="D19" name="範囲1_1"/>
    <protectedRange sqref="D31" name="範囲1_2"/>
    <protectedRange sqref="H31" name="範囲1_3"/>
  </protectedRanges>
  <mergeCells count="21">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 ref="Q46:AA49"/>
    <mergeCell ref="Q53:AA55"/>
    <mergeCell ref="Q69:AA70"/>
    <mergeCell ref="Q63:AA68"/>
    <mergeCell ref="Q59:AA62"/>
  </mergeCells>
  <phoneticPr fontId="2"/>
  <conditionalFormatting sqref="B22:D22">
    <cfRule type="expression" dxfId="8" priority="6">
      <formula>$D$21&lt;&gt;"特別の障がい者である"</formula>
    </cfRule>
  </conditionalFormatting>
  <conditionalFormatting sqref="B24:E27">
    <cfRule type="expression" dxfId="7" priority="7">
      <formula>$D$23="いいえ"</formula>
    </cfRule>
  </conditionalFormatting>
  <conditionalFormatting sqref="B33:E34">
    <cfRule type="expression" dxfId="6" priority="5">
      <formula>$D$32="いいえ"</formula>
    </cfRule>
  </conditionalFormatting>
  <conditionalFormatting sqref="B36:E36">
    <cfRule type="expression" dxfId="5" priority="10">
      <formula>$D$32="はい"</formula>
    </cfRule>
  </conditionalFormatting>
  <conditionalFormatting sqref="G30:I36">
    <cfRule type="expression" dxfId="4" priority="1">
      <formula>$D$32="いいえ"</formula>
    </cfRule>
  </conditionalFormatting>
  <conditionalFormatting sqref="G38:I44">
    <cfRule type="expression" dxfId="3" priority="3">
      <formula>$D$32="いいえ"</formula>
    </cfRule>
  </conditionalFormatting>
  <conditionalFormatting sqref="G47:I55">
    <cfRule type="expression" dxfId="2" priority="9">
      <formula>$D$32="いいえ"</formula>
    </cfRule>
  </conditionalFormatting>
  <conditionalFormatting sqref="H36">
    <cfRule type="expression" dxfId="1" priority="4">
      <formula>$D$32="はい"</formula>
    </cfRule>
  </conditionalFormatting>
  <conditionalFormatting sqref="H70:I72">
    <cfRule type="expression" dxfId="0" priority="8">
      <formula>OR($D$32="いいえ",$D$33="いいえ")</formula>
    </cfRule>
  </conditionalFormatting>
  <dataValidations count="5">
    <dataValidation type="date" allowBlank="1" showInputMessage="1" showErrorMessage="1" sqref="D19 D31 H31" xr:uid="{00000000-0002-0000-0300-000000000000}">
      <formula1>1</formula1>
      <formula2>73051</formula2>
    </dataValidation>
    <dataValidation type="whole" allowBlank="1" showInputMessage="1" showErrorMessage="1" sqref="D10" xr:uid="{00000000-0002-0000-0300-000001000000}">
      <formula1>2000</formula1>
      <formula2>9999</formula2>
    </dataValidation>
    <dataValidation type="list" allowBlank="1" showInputMessage="1" showErrorMessage="1" sqref="D22:D23" xr:uid="{00000000-0002-0000-0300-000002000000}">
      <formula1>$F$3:$F$4</formula1>
    </dataValidation>
    <dataValidation type="date" allowBlank="1" showInputMessage="1" showErrorMessage="1" sqref="H8" xr:uid="{00000000-0002-0000-0300-000003000000}">
      <formula1>1</formula1>
      <formula2>401404</formula2>
    </dataValidation>
    <dataValidation type="list" allowBlank="1" showInputMessage="1" showErrorMessage="1" sqref="H35" xr:uid="{00000000-0002-0000-0300-000004000000}">
      <formula1>$F$12:$F$13</formula1>
    </dataValidation>
  </dataValidations>
  <pageMargins left="0.43307086614173229" right="0.43307086614173229" top="0.35433070866141736" bottom="0.35433070866141736" header="0.11811023622047245" footer="0.11811023622047245"/>
  <pageSetup paperSize="9" scale="6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'C:\Users\FAT019\Desktop\20200325\[海外居住者のための収入等申告書_20200106_5.xlsx]計算シート'!#REF!</xm:f>
          </x14:formula1>
          <xm:sqref>H10 D20:D21 D32:D36</xm:sqref>
        </x14:dataValidation>
        <x14:dataValidation type="list" allowBlank="1" showInputMessage="1" showErrorMessage="1" xr:uid="{00000000-0002-0000-0300-000006000000}">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8"/>
  <sheetViews>
    <sheetView workbookViewId="0">
      <selection activeCell="O25" sqref="O25"/>
    </sheetView>
  </sheetViews>
  <sheetFormatPr defaultColWidth="9" defaultRowHeight="14.4"/>
  <cols>
    <col min="1" max="1" width="2.6640625" style="1" customWidth="1"/>
    <col min="2" max="2" width="4.44140625" style="1" customWidth="1"/>
    <col min="3" max="3" width="6.109375" style="1" customWidth="1"/>
    <col min="4" max="5" width="5.109375" style="1" customWidth="1"/>
    <col min="6" max="6" width="6.6640625" style="1" customWidth="1"/>
    <col min="7" max="8" width="4.109375" style="1" customWidth="1"/>
    <col min="9" max="9" width="5.6640625" style="1" customWidth="1"/>
    <col min="10" max="10" width="4.109375" style="1" customWidth="1"/>
    <col min="11" max="11" width="11" style="1" customWidth="1"/>
    <col min="12" max="12" width="17.109375" style="1" customWidth="1"/>
    <col min="13" max="13" width="6.21875" style="1" customWidth="1"/>
    <col min="14" max="14" width="36.109375" style="1" bestFit="1" customWidth="1"/>
    <col min="15" max="15" width="12.109375" style="1" customWidth="1"/>
    <col min="16" max="16384" width="9" style="1"/>
  </cols>
  <sheetData>
    <row r="1" spans="1:22">
      <c r="A1" s="1" t="s">
        <v>458</v>
      </c>
    </row>
    <row r="3" spans="1:22" ht="16.2">
      <c r="A3" s="4" t="s">
        <v>774</v>
      </c>
      <c r="B3" s="5"/>
      <c r="C3" s="5"/>
      <c r="D3" s="5"/>
      <c r="E3" s="5"/>
      <c r="F3" s="5"/>
      <c r="G3" s="5"/>
      <c r="H3" s="5"/>
      <c r="I3" s="5"/>
      <c r="J3" s="6"/>
      <c r="K3" s="7">
        <v>45646</v>
      </c>
      <c r="L3" s="8"/>
    </row>
    <row r="4" spans="1:22">
      <c r="A4" s="9"/>
      <c r="K4" s="10" t="s">
        <v>775</v>
      </c>
      <c r="L4" s="11"/>
    </row>
    <row r="5" spans="1:22">
      <c r="A5" s="9"/>
      <c r="L5" s="12"/>
    </row>
    <row r="6" spans="1:22">
      <c r="A6" s="9"/>
      <c r="B6" s="1" t="s">
        <v>9</v>
      </c>
      <c r="L6" s="12"/>
    </row>
    <row r="7" spans="1:22">
      <c r="A7" s="9"/>
      <c r="B7" s="1" t="s">
        <v>776</v>
      </c>
      <c r="L7" s="12"/>
    </row>
    <row r="8" spans="1:22">
      <c r="A8" s="9"/>
      <c r="B8" s="1" t="s">
        <v>10</v>
      </c>
      <c r="L8" s="12"/>
    </row>
    <row r="9" spans="1:22">
      <c r="A9" s="9"/>
      <c r="C9" s="13"/>
      <c r="D9" s="13"/>
      <c r="F9" s="14"/>
      <c r="L9" s="12"/>
    </row>
    <row r="10" spans="1:22">
      <c r="A10" s="9"/>
      <c r="B10" s="15" t="s">
        <v>777</v>
      </c>
      <c r="F10" s="14"/>
      <c r="L10" s="12"/>
    </row>
    <row r="11" spans="1:22">
      <c r="A11" s="9"/>
      <c r="L11" s="12"/>
      <c r="M11" s="52" t="s">
        <v>47</v>
      </c>
      <c r="N11" s="52" t="s">
        <v>14</v>
      </c>
      <c r="O11" s="52" t="s">
        <v>15</v>
      </c>
    </row>
    <row r="12" spans="1:22">
      <c r="A12" s="9"/>
      <c r="K12" s="13"/>
      <c r="L12" s="16" t="s">
        <v>11</v>
      </c>
      <c r="M12" s="52">
        <v>1</v>
      </c>
      <c r="N12" s="52" t="s">
        <v>49</v>
      </c>
      <c r="O12" s="52">
        <v>1</v>
      </c>
    </row>
    <row r="13" spans="1:22">
      <c r="A13" s="9"/>
      <c r="B13" s="1">
        <v>157.83000000000001</v>
      </c>
      <c r="C13" s="17" t="s">
        <v>778</v>
      </c>
      <c r="D13" s="14">
        <f>B13</f>
        <v>157.83000000000001</v>
      </c>
      <c r="E13" s="1" t="s">
        <v>779</v>
      </c>
      <c r="I13" s="1" t="s">
        <v>6</v>
      </c>
      <c r="K13" s="18">
        <v>1</v>
      </c>
      <c r="L13" s="19" t="s">
        <v>7</v>
      </c>
      <c r="M13" s="52">
        <v>2</v>
      </c>
      <c r="N13" s="52" t="s">
        <v>662</v>
      </c>
      <c r="O13" s="52">
        <f>B13</f>
        <v>157.83000000000001</v>
      </c>
    </row>
    <row r="14" spans="1:22">
      <c r="A14" s="9"/>
      <c r="B14" s="1">
        <v>1</v>
      </c>
      <c r="C14" s="1" t="s">
        <v>780</v>
      </c>
      <c r="I14" s="1" t="s">
        <v>6</v>
      </c>
      <c r="K14" s="20" t="s">
        <v>781</v>
      </c>
      <c r="L14" s="19" t="s">
        <v>7</v>
      </c>
      <c r="M14" s="52">
        <v>3</v>
      </c>
      <c r="N14" s="52" t="s">
        <v>663</v>
      </c>
      <c r="O14" s="53">
        <f>VALUE($K14)/$B14*$B$13</f>
        <v>113.00628</v>
      </c>
      <c r="Q14" s="33"/>
      <c r="R14" s="32"/>
      <c r="S14" s="32"/>
      <c r="T14" s="32"/>
      <c r="V14" s="32">
        <f>VALUE($K14)/$B14*$B$13</f>
        <v>113.00628</v>
      </c>
    </row>
    <row r="15" spans="1:22">
      <c r="A15" s="9"/>
      <c r="B15" s="1">
        <v>1</v>
      </c>
      <c r="C15" s="1" t="s">
        <v>782</v>
      </c>
      <c r="I15" s="1" t="s">
        <v>8</v>
      </c>
      <c r="K15" s="20" t="s">
        <v>783</v>
      </c>
      <c r="L15" s="12" t="s">
        <v>8</v>
      </c>
      <c r="M15" s="52">
        <v>4</v>
      </c>
      <c r="N15" s="52" t="s">
        <v>664</v>
      </c>
      <c r="O15" s="53">
        <f t="shared" ref="O15:O74" si="0">VALUE($K15)/$B15*$B$13</f>
        <v>21.938370000000003</v>
      </c>
    </row>
    <row r="16" spans="1:22">
      <c r="A16" s="9"/>
      <c r="B16" s="1">
        <v>1</v>
      </c>
      <c r="C16" s="1" t="s">
        <v>784</v>
      </c>
      <c r="I16" s="1" t="s">
        <v>8</v>
      </c>
      <c r="K16" s="20" t="s">
        <v>747</v>
      </c>
      <c r="L16" s="12" t="s">
        <v>8</v>
      </c>
      <c r="M16" s="52">
        <v>5</v>
      </c>
      <c r="N16" s="52" t="s">
        <v>665</v>
      </c>
      <c r="O16" s="53">
        <f t="shared" si="0"/>
        <v>14.473011000000001</v>
      </c>
    </row>
    <row r="17" spans="1:15">
      <c r="A17" s="9"/>
      <c r="B17" s="1">
        <v>1</v>
      </c>
      <c r="C17" s="1" t="s">
        <v>785</v>
      </c>
      <c r="I17" s="1" t="s">
        <v>8</v>
      </c>
      <c r="K17" s="20" t="s">
        <v>786</v>
      </c>
      <c r="L17" s="12" t="s">
        <v>8</v>
      </c>
      <c r="M17" s="52">
        <v>6</v>
      </c>
      <c r="N17" s="52" t="s">
        <v>666</v>
      </c>
      <c r="O17" s="53">
        <f t="shared" si="0"/>
        <v>179.92619999999999</v>
      </c>
    </row>
    <row r="18" spans="1:15" ht="15.75" customHeight="1">
      <c r="A18" s="9"/>
      <c r="B18" s="1">
        <v>1</v>
      </c>
      <c r="C18" s="1" t="s">
        <v>787</v>
      </c>
      <c r="I18" s="1" t="s">
        <v>8</v>
      </c>
      <c r="K18" s="20" t="s">
        <v>788</v>
      </c>
      <c r="L18" s="12" t="s">
        <v>8</v>
      </c>
      <c r="M18" s="52">
        <v>7</v>
      </c>
      <c r="N18" s="52" t="s">
        <v>667</v>
      </c>
      <c r="O18" s="53">
        <f t="shared" si="0"/>
        <v>200.44410000000002</v>
      </c>
    </row>
    <row r="19" spans="1:15" ht="15.75" customHeight="1">
      <c r="A19" s="9"/>
      <c r="B19" s="1">
        <v>1</v>
      </c>
      <c r="C19" s="1" t="s">
        <v>789</v>
      </c>
      <c r="I19" s="1" t="s">
        <v>8</v>
      </c>
      <c r="K19" s="20" t="s">
        <v>790</v>
      </c>
      <c r="L19" s="12" t="s">
        <v>8</v>
      </c>
      <c r="M19" s="52">
        <v>8</v>
      </c>
      <c r="N19" s="52" t="s">
        <v>668</v>
      </c>
      <c r="O19" s="53">
        <f t="shared" si="0"/>
        <v>167.29980000000003</v>
      </c>
    </row>
    <row r="20" spans="1:15">
      <c r="A20" s="9"/>
      <c r="B20" s="1">
        <v>1</v>
      </c>
      <c r="C20" s="1" t="s">
        <v>791</v>
      </c>
      <c r="I20" s="1" t="s">
        <v>8</v>
      </c>
      <c r="K20" s="20" t="s">
        <v>725</v>
      </c>
      <c r="L20" s="12" t="s">
        <v>8</v>
      </c>
      <c r="M20" s="52">
        <v>9</v>
      </c>
      <c r="N20" s="52" t="s">
        <v>669</v>
      </c>
      <c r="O20" s="53">
        <f t="shared" si="0"/>
        <v>42.929760000000009</v>
      </c>
    </row>
    <row r="21" spans="1:15">
      <c r="A21" s="9"/>
      <c r="B21" s="1">
        <v>1</v>
      </c>
      <c r="C21" s="1" t="s">
        <v>792</v>
      </c>
      <c r="I21" s="1" t="s">
        <v>8</v>
      </c>
      <c r="K21" s="20" t="s">
        <v>793</v>
      </c>
      <c r="L21" s="12" t="s">
        <v>8</v>
      </c>
      <c r="M21" s="52">
        <v>10</v>
      </c>
      <c r="N21" s="52" t="s">
        <v>670</v>
      </c>
      <c r="O21" s="53">
        <f t="shared" si="0"/>
        <v>0.15783000000000003</v>
      </c>
    </row>
    <row r="22" spans="1:15">
      <c r="A22" s="9"/>
      <c r="B22" s="1">
        <v>1</v>
      </c>
      <c r="C22" s="1" t="s">
        <v>794</v>
      </c>
      <c r="I22" s="1" t="s">
        <v>8</v>
      </c>
      <c r="K22" s="20" t="s">
        <v>748</v>
      </c>
      <c r="L22" s="12" t="s">
        <v>8</v>
      </c>
      <c r="M22" s="52">
        <v>11</v>
      </c>
      <c r="N22" s="52" t="s">
        <v>671</v>
      </c>
      <c r="O22" s="53">
        <f t="shared" si="0"/>
        <v>42.456270000000004</v>
      </c>
    </row>
    <row r="23" spans="1:15">
      <c r="A23" s="9"/>
      <c r="B23" s="1">
        <v>1</v>
      </c>
      <c r="C23" s="1" t="s">
        <v>795</v>
      </c>
      <c r="F23" s="3"/>
      <c r="I23" s="1" t="s">
        <v>8</v>
      </c>
      <c r="K23" s="20" t="s">
        <v>743</v>
      </c>
      <c r="L23" s="12" t="s">
        <v>8</v>
      </c>
      <c r="M23" s="52">
        <v>12</v>
      </c>
      <c r="N23" s="52" t="s">
        <v>672</v>
      </c>
      <c r="O23" s="53">
        <f t="shared" si="0"/>
        <v>3.6300900000000002E-4</v>
      </c>
    </row>
    <row r="24" spans="1:15">
      <c r="A24" s="9"/>
      <c r="B24" s="1">
        <v>1</v>
      </c>
      <c r="C24" s="1" t="s">
        <v>796</v>
      </c>
      <c r="I24" s="1" t="s">
        <v>8</v>
      </c>
      <c r="K24" s="20" t="s">
        <v>797</v>
      </c>
      <c r="L24" s="12" t="s">
        <v>8</v>
      </c>
      <c r="M24" s="52">
        <v>13</v>
      </c>
      <c r="N24" s="52" t="s">
        <v>673</v>
      </c>
      <c r="O24" s="53">
        <f t="shared" si="0"/>
        <v>1.8781770000000002</v>
      </c>
    </row>
    <row r="25" spans="1:15">
      <c r="A25" s="9"/>
      <c r="B25" s="1">
        <v>100</v>
      </c>
      <c r="C25" s="1" t="s">
        <v>798</v>
      </c>
      <c r="I25" s="1" t="s">
        <v>8</v>
      </c>
      <c r="K25" s="20" t="s">
        <v>799</v>
      </c>
      <c r="L25" s="12" t="s">
        <v>8</v>
      </c>
      <c r="M25" s="52">
        <v>14</v>
      </c>
      <c r="N25" s="52" t="s">
        <v>674</v>
      </c>
      <c r="O25" s="53">
        <f t="shared" si="0"/>
        <v>9.9748560000000007E-3</v>
      </c>
    </row>
    <row r="26" spans="1:15">
      <c r="A26" s="9"/>
      <c r="B26" s="1">
        <v>1</v>
      </c>
      <c r="C26" s="1" t="s">
        <v>800</v>
      </c>
      <c r="I26" s="1" t="s">
        <v>8</v>
      </c>
      <c r="K26" s="20" t="s">
        <v>801</v>
      </c>
      <c r="L26" s="12" t="s">
        <v>8</v>
      </c>
      <c r="M26" s="52">
        <v>15</v>
      </c>
      <c r="N26" s="52" t="s">
        <v>310</v>
      </c>
      <c r="O26" s="53">
        <f t="shared" si="0"/>
        <v>103.06299000000001</v>
      </c>
    </row>
    <row r="27" spans="1:15">
      <c r="A27" s="9"/>
      <c r="B27" s="1">
        <v>1</v>
      </c>
      <c r="C27" s="1" t="s">
        <v>802</v>
      </c>
      <c r="G27" s="21"/>
      <c r="I27" s="1" t="s">
        <v>8</v>
      </c>
      <c r="K27" s="20" t="s">
        <v>452</v>
      </c>
      <c r="L27" s="12" t="s">
        <v>8</v>
      </c>
      <c r="M27" s="52">
        <v>16</v>
      </c>
      <c r="N27" s="52" t="s">
        <v>675</v>
      </c>
      <c r="O27" s="53">
        <f t="shared" si="0"/>
        <v>410.35800000000006</v>
      </c>
    </row>
    <row r="28" spans="1:15">
      <c r="A28" s="9"/>
      <c r="B28" s="1">
        <v>1</v>
      </c>
      <c r="C28" s="1" t="s">
        <v>803</v>
      </c>
      <c r="I28" s="1" t="s">
        <v>8</v>
      </c>
      <c r="K28" s="20" t="s">
        <v>745</v>
      </c>
      <c r="L28" s="12" t="s">
        <v>8</v>
      </c>
      <c r="M28" s="52">
        <v>17</v>
      </c>
      <c r="N28" s="52" t="s">
        <v>676</v>
      </c>
      <c r="O28" s="53">
        <f t="shared" si="0"/>
        <v>43.24542000000001</v>
      </c>
    </row>
    <row r="29" spans="1:15">
      <c r="A29" s="9"/>
      <c r="B29" s="1">
        <v>100</v>
      </c>
      <c r="C29" s="1" t="s">
        <v>804</v>
      </c>
      <c r="I29" s="1" t="s">
        <v>8</v>
      </c>
      <c r="K29" s="20" t="s">
        <v>805</v>
      </c>
      <c r="L29" s="12" t="s">
        <v>8</v>
      </c>
      <c r="M29" s="52">
        <v>18</v>
      </c>
      <c r="N29" s="52" t="s">
        <v>677</v>
      </c>
      <c r="O29" s="53">
        <f t="shared" si="0"/>
        <v>0.11316411</v>
      </c>
    </row>
    <row r="30" spans="1:15">
      <c r="A30" s="9"/>
      <c r="B30" s="1">
        <v>100</v>
      </c>
      <c r="C30" s="1" t="s">
        <v>806</v>
      </c>
      <c r="I30" s="1" t="s">
        <v>8</v>
      </c>
      <c r="K30" s="20" t="s">
        <v>807</v>
      </c>
      <c r="L30" s="12" t="s">
        <v>8</v>
      </c>
      <c r="M30" s="52">
        <v>19</v>
      </c>
      <c r="N30" s="52" t="s">
        <v>678</v>
      </c>
      <c r="O30" s="53">
        <f t="shared" si="0"/>
        <v>3.8984009999999999E-2</v>
      </c>
    </row>
    <row r="31" spans="1:15">
      <c r="A31" s="9"/>
      <c r="B31" s="1">
        <v>1</v>
      </c>
      <c r="C31" s="1" t="s">
        <v>808</v>
      </c>
      <c r="I31" s="1" t="s">
        <v>8</v>
      </c>
      <c r="K31" s="20" t="s">
        <v>809</v>
      </c>
      <c r="L31" s="12" t="s">
        <v>8</v>
      </c>
      <c r="M31" s="52">
        <v>20</v>
      </c>
      <c r="N31" s="52" t="s">
        <v>679</v>
      </c>
      <c r="O31" s="53">
        <f t="shared" si="0"/>
        <v>512.94749999999999</v>
      </c>
    </row>
    <row r="32" spans="1:15">
      <c r="A32" s="9"/>
      <c r="B32" s="1">
        <v>1</v>
      </c>
      <c r="C32" s="1" t="s">
        <v>810</v>
      </c>
      <c r="I32" s="1" t="s">
        <v>8</v>
      </c>
      <c r="K32" s="20" t="s">
        <v>811</v>
      </c>
      <c r="L32" s="12" t="s">
        <v>8</v>
      </c>
      <c r="M32" s="52">
        <v>21</v>
      </c>
      <c r="N32" s="52" t="s">
        <v>680</v>
      </c>
      <c r="O32" s="53">
        <f t="shared" si="0"/>
        <v>1.2216042000000003</v>
      </c>
    </row>
    <row r="33" spans="1:15">
      <c r="A33" s="9"/>
      <c r="B33" s="1">
        <v>100</v>
      </c>
      <c r="C33" s="1" t="s">
        <v>812</v>
      </c>
      <c r="I33" s="1" t="s">
        <v>8</v>
      </c>
      <c r="K33" s="20" t="s">
        <v>813</v>
      </c>
      <c r="L33" s="12" t="s">
        <v>8</v>
      </c>
      <c r="M33" s="52">
        <v>22</v>
      </c>
      <c r="N33" s="52" t="s">
        <v>681</v>
      </c>
      <c r="O33" s="53">
        <f t="shared" si="0"/>
        <v>3.5827410000000004E-2</v>
      </c>
    </row>
    <row r="34" spans="1:15">
      <c r="A34" s="9"/>
      <c r="B34" s="1">
        <v>1</v>
      </c>
      <c r="C34" s="1" t="s">
        <v>814</v>
      </c>
      <c r="I34" s="1" t="s">
        <v>8</v>
      </c>
      <c r="K34" s="20" t="s">
        <v>726</v>
      </c>
      <c r="L34" s="12" t="s">
        <v>8</v>
      </c>
      <c r="M34" s="52">
        <v>23</v>
      </c>
      <c r="N34" s="52" t="s">
        <v>682</v>
      </c>
      <c r="O34" s="53">
        <f t="shared" si="0"/>
        <v>41.982780000000005</v>
      </c>
    </row>
    <row r="35" spans="1:15">
      <c r="A35" s="9"/>
      <c r="B35" s="1">
        <v>1</v>
      </c>
      <c r="C35" s="1" t="s">
        <v>815</v>
      </c>
      <c r="I35" s="1" t="s">
        <v>8</v>
      </c>
      <c r="K35" s="20" t="s">
        <v>816</v>
      </c>
      <c r="L35" s="12" t="s">
        <v>8</v>
      </c>
      <c r="M35" s="52">
        <v>24</v>
      </c>
      <c r="N35" s="52" t="s">
        <v>683</v>
      </c>
      <c r="O35" s="53">
        <f t="shared" si="0"/>
        <v>118.05684000000001</v>
      </c>
    </row>
    <row r="36" spans="1:15">
      <c r="A36" s="9"/>
      <c r="B36" s="1">
        <v>100</v>
      </c>
      <c r="C36" s="1" t="s">
        <v>817</v>
      </c>
      <c r="I36" s="1" t="s">
        <v>8</v>
      </c>
      <c r="K36" s="20" t="s">
        <v>818</v>
      </c>
      <c r="L36" s="12" t="s">
        <v>8</v>
      </c>
      <c r="M36" s="52">
        <v>25</v>
      </c>
      <c r="N36" s="52" t="s">
        <v>684</v>
      </c>
      <c r="O36" s="53">
        <f t="shared" si="0"/>
        <v>4.8769469999999995</v>
      </c>
    </row>
    <row r="37" spans="1:15">
      <c r="A37" s="9"/>
      <c r="B37" s="1">
        <v>100</v>
      </c>
      <c r="C37" s="1" t="s">
        <v>819</v>
      </c>
      <c r="I37" s="1" t="s">
        <v>8</v>
      </c>
      <c r="K37" s="20" t="s">
        <v>820</v>
      </c>
      <c r="L37" s="12" t="s">
        <v>8</v>
      </c>
      <c r="M37" s="52">
        <v>26</v>
      </c>
      <c r="N37" s="52" t="s">
        <v>685</v>
      </c>
      <c r="O37" s="53">
        <f t="shared" si="0"/>
        <v>0.54135690000000014</v>
      </c>
    </row>
    <row r="38" spans="1:15">
      <c r="A38" s="9"/>
      <c r="B38" s="1">
        <v>1</v>
      </c>
      <c r="C38" s="1" t="s">
        <v>821</v>
      </c>
      <c r="I38" s="1" t="s">
        <v>8</v>
      </c>
      <c r="K38" s="20" t="s">
        <v>822</v>
      </c>
      <c r="L38" s="12" t="s">
        <v>8</v>
      </c>
      <c r="M38" s="52">
        <v>27</v>
      </c>
      <c r="N38" s="52" t="s">
        <v>686</v>
      </c>
      <c r="O38" s="53">
        <f t="shared" si="0"/>
        <v>11.221713000000001</v>
      </c>
    </row>
    <row r="39" spans="1:15">
      <c r="A39" s="9"/>
      <c r="B39" s="1">
        <v>100</v>
      </c>
      <c r="C39" s="1" t="s">
        <v>823</v>
      </c>
      <c r="I39" s="1" t="s">
        <v>8</v>
      </c>
      <c r="K39" s="20" t="s">
        <v>824</v>
      </c>
      <c r="L39" s="12" t="s">
        <v>8</v>
      </c>
      <c r="M39" s="52">
        <v>28</v>
      </c>
      <c r="N39" s="52" t="s">
        <v>687</v>
      </c>
      <c r="O39" s="53">
        <f t="shared" si="0"/>
        <v>4.57707</v>
      </c>
    </row>
    <row r="40" spans="1:15">
      <c r="A40" s="9"/>
      <c r="B40" s="1">
        <v>100</v>
      </c>
      <c r="C40" s="1" t="s">
        <v>825</v>
      </c>
      <c r="I40" s="1" t="s">
        <v>8</v>
      </c>
      <c r="K40" s="20" t="s">
        <v>826</v>
      </c>
      <c r="L40" s="12" t="s">
        <v>8</v>
      </c>
      <c r="M40" s="52">
        <v>29</v>
      </c>
      <c r="N40" s="52" t="s">
        <v>688</v>
      </c>
      <c r="O40" s="53">
        <f t="shared" si="0"/>
        <v>1.4094219000000001</v>
      </c>
    </row>
    <row r="41" spans="1:15">
      <c r="A41" s="9"/>
      <c r="B41" s="1">
        <v>1</v>
      </c>
      <c r="C41" s="1" t="s">
        <v>827</v>
      </c>
      <c r="I41" s="1" t="s">
        <v>8</v>
      </c>
      <c r="K41" s="20" t="s">
        <v>828</v>
      </c>
      <c r="L41" s="12" t="s">
        <v>8</v>
      </c>
      <c r="M41" s="52">
        <v>30</v>
      </c>
      <c r="N41" s="52" t="s">
        <v>689</v>
      </c>
      <c r="O41" s="53">
        <f t="shared" si="0"/>
        <v>6.6288600000000013</v>
      </c>
    </row>
    <row r="42" spans="1:15">
      <c r="A42" s="9"/>
      <c r="B42" s="1">
        <v>100</v>
      </c>
      <c r="C42" s="1" t="s">
        <v>829</v>
      </c>
      <c r="I42" s="1" t="s">
        <v>8</v>
      </c>
      <c r="K42" s="20" t="s">
        <v>830</v>
      </c>
      <c r="L42" s="12" t="s">
        <v>8</v>
      </c>
      <c r="M42" s="52">
        <v>31</v>
      </c>
      <c r="N42" s="52" t="s">
        <v>690</v>
      </c>
      <c r="O42" s="53">
        <f t="shared" si="0"/>
        <v>0.16256489999999998</v>
      </c>
    </row>
    <row r="43" spans="1:15">
      <c r="A43" s="9"/>
      <c r="B43" s="1">
        <v>1</v>
      </c>
      <c r="C43" s="1" t="s">
        <v>831</v>
      </c>
      <c r="I43" s="1" t="s">
        <v>8</v>
      </c>
      <c r="K43" s="20" t="s">
        <v>832</v>
      </c>
      <c r="L43" s="12" t="s">
        <v>8</v>
      </c>
      <c r="M43" s="52">
        <v>32</v>
      </c>
      <c r="N43" s="52" t="s">
        <v>691</v>
      </c>
      <c r="O43" s="53">
        <f t="shared" si="0"/>
        <v>22.411860000000001</v>
      </c>
    </row>
    <row r="44" spans="1:15">
      <c r="A44" s="9"/>
      <c r="B44" s="1">
        <v>1</v>
      </c>
      <c r="C44" s="1" t="s">
        <v>833</v>
      </c>
      <c r="I44" s="1" t="s">
        <v>8</v>
      </c>
      <c r="K44" s="20" t="s">
        <v>727</v>
      </c>
      <c r="L44" s="12" t="s">
        <v>8</v>
      </c>
      <c r="M44" s="52">
        <v>33</v>
      </c>
      <c r="N44" s="52" t="s">
        <v>692</v>
      </c>
      <c r="O44" s="53">
        <f t="shared" si="0"/>
        <v>23.358840000000001</v>
      </c>
    </row>
    <row r="45" spans="1:15">
      <c r="A45" s="9"/>
      <c r="B45" s="1">
        <v>1</v>
      </c>
      <c r="C45" s="1" t="s">
        <v>834</v>
      </c>
      <c r="I45" s="1" t="s">
        <v>8</v>
      </c>
      <c r="K45" s="20" t="s">
        <v>835</v>
      </c>
      <c r="L45" s="12" t="s">
        <v>8</v>
      </c>
      <c r="M45" s="52">
        <v>34</v>
      </c>
      <c r="N45" s="52" t="s">
        <v>693</v>
      </c>
      <c r="O45" s="53">
        <f t="shared" si="0"/>
        <v>4.5770700000000009</v>
      </c>
    </row>
    <row r="46" spans="1:15">
      <c r="A46" s="9"/>
      <c r="B46" s="1">
        <v>1</v>
      </c>
      <c r="C46" s="1" t="s">
        <v>836</v>
      </c>
      <c r="I46" s="1" t="s">
        <v>8</v>
      </c>
      <c r="K46" s="20" t="s">
        <v>837</v>
      </c>
      <c r="L46" s="12" t="s">
        <v>8</v>
      </c>
      <c r="M46" s="52">
        <v>35</v>
      </c>
      <c r="N46" s="52" t="s">
        <v>694</v>
      </c>
      <c r="O46" s="53">
        <f t="shared" si="0"/>
        <v>9.4224510000000011E-2</v>
      </c>
    </row>
    <row r="47" spans="1:15">
      <c r="A47" s="9"/>
      <c r="B47" s="1">
        <v>1</v>
      </c>
      <c r="C47" s="1" t="s">
        <v>838</v>
      </c>
      <c r="I47" s="1" t="s">
        <v>8</v>
      </c>
      <c r="K47" s="20" t="s">
        <v>839</v>
      </c>
      <c r="L47" s="12" t="s">
        <v>8</v>
      </c>
      <c r="M47" s="52">
        <v>36</v>
      </c>
      <c r="N47" s="52" t="s">
        <v>695</v>
      </c>
      <c r="O47" s="53">
        <f t="shared" si="0"/>
        <v>93.277529999999999</v>
      </c>
    </row>
    <row r="48" spans="1:15">
      <c r="A48" s="9"/>
      <c r="B48" s="1">
        <v>1</v>
      </c>
      <c r="C48" s="1" t="s">
        <v>840</v>
      </c>
      <c r="I48" s="1" t="s">
        <v>8</v>
      </c>
      <c r="K48" s="20" t="s">
        <v>841</v>
      </c>
      <c r="L48" s="12" t="s">
        <v>8</v>
      </c>
      <c r="M48" s="52">
        <v>37</v>
      </c>
      <c r="N48" s="52" t="s">
        <v>696</v>
      </c>
      <c r="O48" s="53">
        <f t="shared" si="0"/>
        <v>14.283615000000001</v>
      </c>
    </row>
    <row r="49" spans="1:15">
      <c r="A49" s="9"/>
      <c r="B49" s="1">
        <v>1</v>
      </c>
      <c r="C49" s="1" t="s">
        <v>842</v>
      </c>
      <c r="I49" s="1" t="s">
        <v>8</v>
      </c>
      <c r="K49" s="20" t="s">
        <v>843</v>
      </c>
      <c r="L49" s="12" t="s">
        <v>8</v>
      </c>
      <c r="M49" s="52">
        <v>38</v>
      </c>
      <c r="N49" s="52" t="s">
        <v>697</v>
      </c>
      <c r="O49" s="53">
        <f t="shared" si="0"/>
        <v>0.56818800000000003</v>
      </c>
    </row>
    <row r="50" spans="1:15">
      <c r="A50" s="9"/>
      <c r="B50" s="1">
        <v>100</v>
      </c>
      <c r="C50" s="1" t="s">
        <v>844</v>
      </c>
      <c r="I50" s="1" t="s">
        <v>8</v>
      </c>
      <c r="K50" s="20" t="s">
        <v>845</v>
      </c>
      <c r="L50" s="12" t="s">
        <v>846</v>
      </c>
      <c r="M50" s="52">
        <v>39</v>
      </c>
      <c r="N50" s="52" t="s">
        <v>698</v>
      </c>
      <c r="O50" s="53">
        <f t="shared" si="0"/>
        <v>1.2973626</v>
      </c>
    </row>
    <row r="51" spans="1:15">
      <c r="A51" s="9"/>
      <c r="B51" s="1">
        <v>1</v>
      </c>
      <c r="C51" s="1" t="s">
        <v>847</v>
      </c>
      <c r="I51" s="1" t="s">
        <v>8</v>
      </c>
      <c r="K51" s="20" t="s">
        <v>848</v>
      </c>
      <c r="L51" s="12" t="s">
        <v>8</v>
      </c>
      <c r="M51" s="52">
        <v>40</v>
      </c>
      <c r="N51" s="52" t="s">
        <v>699</v>
      </c>
      <c r="O51" s="53">
        <f t="shared" si="0"/>
        <v>39.930990000000001</v>
      </c>
    </row>
    <row r="52" spans="1:15">
      <c r="A52" s="9"/>
      <c r="B52" s="1">
        <v>1</v>
      </c>
      <c r="C52" s="1" t="s">
        <v>849</v>
      </c>
      <c r="I52" s="1" t="s">
        <v>8</v>
      </c>
      <c r="K52" s="20" t="s">
        <v>728</v>
      </c>
      <c r="L52" s="12" t="s">
        <v>8</v>
      </c>
      <c r="M52" s="52">
        <v>41</v>
      </c>
      <c r="N52" s="52" t="s">
        <v>700</v>
      </c>
      <c r="O52" s="53">
        <f t="shared" si="0"/>
        <v>418.24950000000001</v>
      </c>
    </row>
    <row r="53" spans="1:15">
      <c r="A53" s="9"/>
      <c r="B53" s="1">
        <v>100</v>
      </c>
      <c r="C53" s="1" t="s">
        <v>850</v>
      </c>
      <c r="I53" s="1" t="s">
        <v>8</v>
      </c>
      <c r="K53" s="20" t="s">
        <v>851</v>
      </c>
      <c r="L53" s="12" t="s">
        <v>8</v>
      </c>
      <c r="M53" s="52">
        <v>42</v>
      </c>
      <c r="N53" s="52" t="s">
        <v>701</v>
      </c>
      <c r="O53" s="53">
        <f t="shared" si="0"/>
        <v>0.40877970000000008</v>
      </c>
    </row>
    <row r="54" spans="1:15">
      <c r="A54" s="9"/>
      <c r="B54" s="1">
        <v>100</v>
      </c>
      <c r="C54" s="1" t="s">
        <v>852</v>
      </c>
      <c r="I54" s="1" t="s">
        <v>8</v>
      </c>
      <c r="K54" s="20" t="s">
        <v>853</v>
      </c>
      <c r="L54" s="12" t="s">
        <v>8</v>
      </c>
      <c r="M54" s="52">
        <v>43</v>
      </c>
      <c r="N54" s="52" t="s">
        <v>702</v>
      </c>
      <c r="O54" s="53">
        <f t="shared" si="0"/>
        <v>1.3210370999999999</v>
      </c>
    </row>
    <row r="55" spans="1:15">
      <c r="A55" s="9"/>
      <c r="B55" s="1">
        <v>1</v>
      </c>
      <c r="C55" s="1" t="s">
        <v>854</v>
      </c>
      <c r="I55" s="1" t="s">
        <v>8</v>
      </c>
      <c r="K55" s="20" t="s">
        <v>855</v>
      </c>
      <c r="L55" s="12" t="s">
        <v>8</v>
      </c>
      <c r="M55" s="52">
        <v>44</v>
      </c>
      <c r="N55" s="52" t="s">
        <v>703</v>
      </c>
      <c r="O55" s="53">
        <f t="shared" si="0"/>
        <v>69.28737000000001</v>
      </c>
    </row>
    <row r="56" spans="1:15">
      <c r="A56" s="9"/>
      <c r="B56" s="1">
        <v>1</v>
      </c>
      <c r="C56" s="1" t="s">
        <v>856</v>
      </c>
      <c r="I56" s="1" t="s">
        <v>8</v>
      </c>
      <c r="K56" s="20" t="s">
        <v>857</v>
      </c>
      <c r="L56" s="12" t="s">
        <v>8</v>
      </c>
      <c r="M56" s="52">
        <v>45</v>
      </c>
      <c r="N56" s="52" t="s">
        <v>704</v>
      </c>
      <c r="O56" s="53">
        <f t="shared" si="0"/>
        <v>2.6831100000000006</v>
      </c>
    </row>
    <row r="57" spans="1:15">
      <c r="A57" s="9"/>
      <c r="B57" s="1">
        <v>1</v>
      </c>
      <c r="C57" s="1" t="s">
        <v>858</v>
      </c>
      <c r="I57" s="1" t="s">
        <v>8</v>
      </c>
      <c r="K57" s="20" t="s">
        <v>859</v>
      </c>
      <c r="L57" s="12" t="s">
        <v>8</v>
      </c>
      <c r="M57" s="52">
        <v>46</v>
      </c>
      <c r="N57" s="52" t="s">
        <v>705</v>
      </c>
      <c r="O57" s="53">
        <f t="shared" si="0"/>
        <v>27.14676</v>
      </c>
    </row>
    <row r="58" spans="1:15">
      <c r="A58" s="9"/>
      <c r="B58" s="1">
        <v>1</v>
      </c>
      <c r="C58" s="1" t="s">
        <v>860</v>
      </c>
      <c r="I58" s="1" t="s">
        <v>8</v>
      </c>
      <c r="K58" s="20" t="s">
        <v>816</v>
      </c>
      <c r="L58" s="12" t="s">
        <v>8</v>
      </c>
      <c r="M58" s="52">
        <v>47</v>
      </c>
      <c r="N58" s="52" t="s">
        <v>706</v>
      </c>
      <c r="O58" s="53">
        <f t="shared" si="0"/>
        <v>118.05684000000001</v>
      </c>
    </row>
    <row r="59" spans="1:15">
      <c r="A59" s="9"/>
      <c r="B59" s="1">
        <v>100</v>
      </c>
      <c r="C59" s="1" t="s">
        <v>861</v>
      </c>
      <c r="I59" s="1" t="s">
        <v>8</v>
      </c>
      <c r="K59" s="20" t="s">
        <v>862</v>
      </c>
      <c r="L59" s="12" t="s">
        <v>8</v>
      </c>
      <c r="M59" s="52">
        <v>48</v>
      </c>
      <c r="N59" s="52" t="s">
        <v>707</v>
      </c>
      <c r="O59" s="53">
        <f t="shared" si="0"/>
        <v>6.2185020000000008E-3</v>
      </c>
    </row>
    <row r="60" spans="1:15">
      <c r="A60" s="9"/>
      <c r="B60" s="1">
        <v>1</v>
      </c>
      <c r="C60" s="1" t="s">
        <v>863</v>
      </c>
      <c r="I60" s="1" t="s">
        <v>8</v>
      </c>
      <c r="K60" s="20" t="s">
        <v>864</v>
      </c>
      <c r="L60" s="12" t="s">
        <v>8</v>
      </c>
      <c r="M60" s="52">
        <v>49</v>
      </c>
      <c r="N60" s="52" t="s">
        <v>708</v>
      </c>
      <c r="O60" s="53">
        <f t="shared" si="0"/>
        <v>3.5038260000000006</v>
      </c>
    </row>
    <row r="61" spans="1:15">
      <c r="A61" s="9"/>
      <c r="B61" s="1">
        <v>1</v>
      </c>
      <c r="C61" s="1" t="s">
        <v>865</v>
      </c>
      <c r="I61" s="1" t="s">
        <v>8</v>
      </c>
      <c r="K61" s="20" t="s">
        <v>866</v>
      </c>
      <c r="L61" s="12" t="s">
        <v>8</v>
      </c>
      <c r="M61" s="52">
        <v>50</v>
      </c>
      <c r="N61" s="52" t="s">
        <v>709</v>
      </c>
      <c r="O61" s="53">
        <f t="shared" si="0"/>
        <v>41.824950000000008</v>
      </c>
    </row>
    <row r="62" spans="1:15">
      <c r="A62" s="9"/>
      <c r="B62" s="1">
        <v>1</v>
      </c>
      <c r="C62" s="1" t="s">
        <v>867</v>
      </c>
      <c r="I62" s="1" t="s">
        <v>8</v>
      </c>
      <c r="K62" s="20" t="s">
        <v>868</v>
      </c>
      <c r="L62" s="12" t="s">
        <v>8</v>
      </c>
      <c r="M62" s="52">
        <v>51</v>
      </c>
      <c r="N62" s="52" t="s">
        <v>710</v>
      </c>
      <c r="O62" s="53">
        <f t="shared" si="0"/>
        <v>38.668350000000004</v>
      </c>
    </row>
    <row r="63" spans="1:15">
      <c r="A63" s="9"/>
      <c r="B63" s="1">
        <v>1</v>
      </c>
      <c r="C63" s="1" t="s">
        <v>869</v>
      </c>
      <c r="I63" s="1" t="s">
        <v>8</v>
      </c>
      <c r="K63" s="20" t="s">
        <v>870</v>
      </c>
      <c r="L63" s="12" t="s">
        <v>8</v>
      </c>
      <c r="M63" s="52">
        <v>52</v>
      </c>
      <c r="N63" s="52" t="s">
        <v>711</v>
      </c>
      <c r="O63" s="53">
        <f t="shared" si="0"/>
        <v>20.360070000000004</v>
      </c>
    </row>
    <row r="64" spans="1:15">
      <c r="A64" s="9"/>
      <c r="B64" s="1">
        <v>1</v>
      </c>
      <c r="C64" s="1" t="s">
        <v>871</v>
      </c>
      <c r="I64" s="1" t="s">
        <v>8</v>
      </c>
      <c r="K64" s="20" t="s">
        <v>872</v>
      </c>
      <c r="L64" s="12" t="s">
        <v>8</v>
      </c>
      <c r="M64" s="52">
        <v>53</v>
      </c>
      <c r="N64" s="52" t="s">
        <v>712</v>
      </c>
      <c r="O64" s="53">
        <f t="shared" si="0"/>
        <v>35.511750000000006</v>
      </c>
    </row>
    <row r="65" spans="1:15">
      <c r="A65" s="9"/>
      <c r="B65" s="1">
        <v>1</v>
      </c>
      <c r="C65" s="1" t="s">
        <v>873</v>
      </c>
      <c r="I65" s="1" t="s">
        <v>8</v>
      </c>
      <c r="K65" s="20" t="s">
        <v>874</v>
      </c>
      <c r="L65" s="12" t="s">
        <v>8</v>
      </c>
      <c r="M65" s="52">
        <v>54</v>
      </c>
      <c r="N65" s="52" t="s">
        <v>713</v>
      </c>
      <c r="O65" s="53">
        <f t="shared" si="0"/>
        <v>8.791131</v>
      </c>
    </row>
    <row r="66" spans="1:15">
      <c r="A66" s="9"/>
      <c r="B66" s="1">
        <v>1</v>
      </c>
      <c r="C66" s="1" t="s">
        <v>875</v>
      </c>
      <c r="I66" s="1" t="s">
        <v>8</v>
      </c>
      <c r="K66" s="20" t="s">
        <v>729</v>
      </c>
      <c r="L66" s="12" t="s">
        <v>8</v>
      </c>
      <c r="M66" s="52">
        <v>55</v>
      </c>
      <c r="N66" s="52" t="s">
        <v>714</v>
      </c>
      <c r="O66" s="53">
        <f t="shared" si="0"/>
        <v>7.5127080000000013E-2</v>
      </c>
    </row>
    <row r="67" spans="1:15">
      <c r="A67" s="9"/>
      <c r="B67" s="1">
        <v>1</v>
      </c>
      <c r="C67" s="1" t="s">
        <v>876</v>
      </c>
      <c r="I67" s="1" t="s">
        <v>8</v>
      </c>
      <c r="K67" s="20" t="s">
        <v>877</v>
      </c>
      <c r="L67" s="12" t="s">
        <v>8</v>
      </c>
      <c r="M67" s="52">
        <v>56</v>
      </c>
      <c r="N67" s="52" t="s">
        <v>715</v>
      </c>
      <c r="O67" s="53">
        <f t="shared" si="0"/>
        <v>7.7652360000000007</v>
      </c>
    </row>
    <row r="68" spans="1:15">
      <c r="A68" s="9"/>
      <c r="B68" s="1">
        <v>1</v>
      </c>
      <c r="C68" s="1" t="s">
        <v>878</v>
      </c>
      <c r="I68" s="1" t="s">
        <v>8</v>
      </c>
      <c r="K68" s="20" t="s">
        <v>879</v>
      </c>
      <c r="L68" s="12" t="s">
        <v>8</v>
      </c>
      <c r="M68" s="52">
        <v>57</v>
      </c>
      <c r="N68" s="52" t="s">
        <v>716</v>
      </c>
      <c r="O68" s="53">
        <f t="shared" si="0"/>
        <v>3.3933450000000001</v>
      </c>
    </row>
    <row r="69" spans="1:15">
      <c r="A69" s="9"/>
      <c r="B69" s="1">
        <v>1</v>
      </c>
      <c r="C69" s="1" t="s">
        <v>880</v>
      </c>
      <c r="I69" s="1" t="s">
        <v>8</v>
      </c>
      <c r="K69" s="20" t="s">
        <v>881</v>
      </c>
      <c r="L69" s="12" t="s">
        <v>8</v>
      </c>
      <c r="M69" s="52">
        <v>58</v>
      </c>
      <c r="N69" s="52" t="s">
        <v>717</v>
      </c>
      <c r="O69" s="53">
        <f t="shared" si="0"/>
        <v>15.940830000000002</v>
      </c>
    </row>
    <row r="70" spans="1:15">
      <c r="A70" s="9"/>
      <c r="B70" s="1">
        <v>1</v>
      </c>
      <c r="C70" s="1" t="s">
        <v>882</v>
      </c>
      <c r="I70" s="1" t="s">
        <v>8</v>
      </c>
      <c r="K70" s="20" t="s">
        <v>730</v>
      </c>
      <c r="L70" s="12" t="s">
        <v>8</v>
      </c>
      <c r="M70" s="52">
        <v>59</v>
      </c>
      <c r="N70" s="52" t="s">
        <v>718</v>
      </c>
      <c r="O70" s="53">
        <f t="shared" si="0"/>
        <v>222.5403</v>
      </c>
    </row>
    <row r="71" spans="1:15">
      <c r="A71" s="9"/>
      <c r="B71" s="1">
        <v>100</v>
      </c>
      <c r="C71" s="1" t="s">
        <v>883</v>
      </c>
      <c r="I71" s="1" t="s">
        <v>8</v>
      </c>
      <c r="K71" s="20" t="s">
        <v>884</v>
      </c>
      <c r="L71" s="12" t="s">
        <v>8</v>
      </c>
      <c r="M71" s="52">
        <v>60</v>
      </c>
      <c r="N71" s="52" t="s">
        <v>719</v>
      </c>
      <c r="O71" s="53">
        <f t="shared" si="0"/>
        <v>7.1970480000000002E-3</v>
      </c>
    </row>
    <row r="72" spans="1:15">
      <c r="A72" s="9"/>
      <c r="B72" s="1">
        <v>1</v>
      </c>
      <c r="C72" s="1" t="s">
        <v>885</v>
      </c>
      <c r="I72" s="1" t="s">
        <v>8</v>
      </c>
      <c r="K72" s="20" t="s">
        <v>749</v>
      </c>
      <c r="L72" s="12" t="s">
        <v>8</v>
      </c>
      <c r="M72" s="52">
        <v>61</v>
      </c>
      <c r="N72" s="52" t="s">
        <v>720</v>
      </c>
      <c r="O72" s="53">
        <f t="shared" si="0"/>
        <v>33.617789999999999</v>
      </c>
    </row>
    <row r="73" spans="1:15">
      <c r="A73" s="9"/>
      <c r="B73" s="1">
        <v>100</v>
      </c>
      <c r="C73" s="1" t="s">
        <v>886</v>
      </c>
      <c r="F73" s="13"/>
      <c r="I73" s="1" t="s">
        <v>8</v>
      </c>
      <c r="K73" s="20" t="s">
        <v>887</v>
      </c>
      <c r="L73" s="12" t="s">
        <v>8</v>
      </c>
      <c r="M73" s="52">
        <v>62</v>
      </c>
      <c r="N73" s="52" t="s">
        <v>721</v>
      </c>
      <c r="O73" s="53">
        <f t="shared" si="0"/>
        <v>0.11537373000000001</v>
      </c>
    </row>
    <row r="74" spans="1:15">
      <c r="A74" s="9"/>
      <c r="B74" s="1">
        <v>1</v>
      </c>
      <c r="C74" s="1" t="s">
        <v>888</v>
      </c>
      <c r="I74" s="1" t="s">
        <v>8</v>
      </c>
      <c r="K74" s="20" t="s">
        <v>889</v>
      </c>
      <c r="L74" s="12" t="s">
        <v>8</v>
      </c>
      <c r="M74" s="52">
        <v>63</v>
      </c>
      <c r="N74" s="52" t="s">
        <v>722</v>
      </c>
      <c r="O74" s="53">
        <f t="shared" si="0"/>
        <v>1.5609387000000001</v>
      </c>
    </row>
    <row r="75" spans="1:15">
      <c r="A75" s="9"/>
      <c r="F75" s="2"/>
      <c r="G75" s="22"/>
      <c r="H75" s="13"/>
      <c r="I75" s="2"/>
      <c r="K75" s="23"/>
      <c r="L75" s="16"/>
      <c r="M75" s="2"/>
    </row>
    <row r="76" spans="1:15">
      <c r="A76" s="9"/>
      <c r="B76" s="1" t="s">
        <v>890</v>
      </c>
      <c r="F76" s="24" t="s">
        <v>12</v>
      </c>
      <c r="G76" s="14"/>
      <c r="L76" s="12"/>
    </row>
    <row r="77" spans="1:15">
      <c r="A77" s="25"/>
      <c r="B77" s="26"/>
      <c r="C77" s="27"/>
      <c r="D77" s="28"/>
      <c r="E77" s="28"/>
      <c r="F77" s="29" t="s">
        <v>891</v>
      </c>
      <c r="G77" s="30"/>
      <c r="H77" s="28"/>
      <c r="I77" s="28"/>
      <c r="J77" s="28"/>
      <c r="K77" s="28"/>
      <c r="L77" s="31"/>
    </row>
    <row r="78" spans="1:15" s="3" customFormat="1" ht="13.2">
      <c r="C78" s="3" t="s">
        <v>13</v>
      </c>
    </row>
  </sheetData>
  <protectedRanges>
    <protectedRange sqref="B13" name="範囲1"/>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8"/>
  <sheetViews>
    <sheetView workbookViewId="0">
      <selection activeCell="O14" sqref="O14"/>
    </sheetView>
  </sheetViews>
  <sheetFormatPr defaultColWidth="9" defaultRowHeight="14.4"/>
  <cols>
    <col min="1" max="1" width="2.6640625" style="1" customWidth="1"/>
    <col min="2" max="2" width="4.44140625" style="1" customWidth="1"/>
    <col min="3" max="3" width="6.109375" style="1" customWidth="1"/>
    <col min="4" max="5" width="5.109375" style="1" customWidth="1"/>
    <col min="6" max="6" width="6.6640625" style="1" customWidth="1"/>
    <col min="7" max="8" width="4.109375" style="1" customWidth="1"/>
    <col min="9" max="9" width="5.6640625" style="1" customWidth="1"/>
    <col min="10" max="10" width="4.109375" style="1" customWidth="1"/>
    <col min="11" max="11" width="11" style="1" customWidth="1"/>
    <col min="12" max="12" width="17.109375" style="1" customWidth="1"/>
    <col min="13" max="13" width="6.21875" style="1" customWidth="1"/>
    <col min="14" max="14" width="36.109375" style="1" bestFit="1" customWidth="1"/>
    <col min="15" max="15" width="12.109375" style="1" customWidth="1"/>
    <col min="16" max="16384" width="9" style="1"/>
  </cols>
  <sheetData>
    <row r="1" spans="1:22">
      <c r="A1" s="1" t="s">
        <v>723</v>
      </c>
      <c r="E1" s="1" t="s">
        <v>773</v>
      </c>
    </row>
    <row r="3" spans="1:22" ht="16.2">
      <c r="A3" s="4" t="s">
        <v>978</v>
      </c>
      <c r="B3" s="5"/>
      <c r="C3" s="5"/>
      <c r="D3" s="5"/>
      <c r="E3" s="5"/>
      <c r="F3" s="5"/>
      <c r="G3" s="5"/>
      <c r="H3" s="5"/>
      <c r="I3" s="5"/>
      <c r="J3" s="6"/>
      <c r="K3" s="7">
        <v>46010</v>
      </c>
      <c r="L3" s="8"/>
    </row>
    <row r="4" spans="1:22">
      <c r="A4" s="9"/>
      <c r="K4" s="10" t="s">
        <v>775</v>
      </c>
      <c r="L4" s="11"/>
    </row>
    <row r="5" spans="1:22">
      <c r="A5" s="9"/>
      <c r="L5" s="12"/>
    </row>
    <row r="6" spans="1:22">
      <c r="A6" s="9"/>
      <c r="B6" s="1" t="s">
        <v>9</v>
      </c>
      <c r="L6" s="12"/>
    </row>
    <row r="7" spans="1:22">
      <c r="A7" s="9"/>
      <c r="B7" s="1" t="s">
        <v>776</v>
      </c>
      <c r="L7" s="12"/>
    </row>
    <row r="8" spans="1:22">
      <c r="A8" s="9"/>
      <c r="B8" s="1" t="s">
        <v>10</v>
      </c>
      <c r="L8" s="12"/>
    </row>
    <row r="9" spans="1:22">
      <c r="A9" s="9"/>
      <c r="C9" s="13"/>
      <c r="D9" s="13"/>
      <c r="F9" s="14"/>
      <c r="L9" s="12"/>
    </row>
    <row r="10" spans="1:22">
      <c r="A10" s="9"/>
      <c r="B10" s="15" t="s">
        <v>979</v>
      </c>
      <c r="F10" s="14"/>
      <c r="L10" s="12"/>
    </row>
    <row r="11" spans="1:22">
      <c r="A11" s="9"/>
      <c r="L11" s="12"/>
      <c r="M11" s="295" t="s">
        <v>47</v>
      </c>
      <c r="N11" s="52" t="s">
        <v>14</v>
      </c>
      <c r="O11" s="52" t="s">
        <v>15</v>
      </c>
    </row>
    <row r="12" spans="1:22">
      <c r="A12" s="9"/>
      <c r="K12" s="13"/>
      <c r="L12" s="16" t="s">
        <v>11</v>
      </c>
      <c r="M12" s="295">
        <v>1</v>
      </c>
      <c r="N12" s="52" t="s">
        <v>49</v>
      </c>
      <c r="O12" s="52">
        <v>1</v>
      </c>
    </row>
    <row r="13" spans="1:22">
      <c r="A13" s="9"/>
      <c r="B13" s="1">
        <v>156.30000000000001</v>
      </c>
      <c r="C13" s="17" t="s">
        <v>778</v>
      </c>
      <c r="D13" s="14">
        <f>B13</f>
        <v>156.30000000000001</v>
      </c>
      <c r="E13" s="1" t="s">
        <v>779</v>
      </c>
      <c r="I13" s="1" t="s">
        <v>6</v>
      </c>
      <c r="K13" s="18">
        <v>1</v>
      </c>
      <c r="L13" s="19" t="s">
        <v>7</v>
      </c>
      <c r="M13" s="295">
        <v>2</v>
      </c>
      <c r="N13" s="52" t="str">
        <f>L13&amp;" (USD)"</f>
        <v>米ドル (USD)</v>
      </c>
      <c r="O13" s="52">
        <f>B13</f>
        <v>156.30000000000001</v>
      </c>
    </row>
    <row r="14" spans="1:22">
      <c r="A14" s="9"/>
      <c r="B14" s="1">
        <v>1</v>
      </c>
      <c r="C14" s="1" t="s">
        <v>780</v>
      </c>
      <c r="I14" s="1" t="s">
        <v>6</v>
      </c>
      <c r="K14" s="20" t="s">
        <v>980</v>
      </c>
      <c r="L14" s="19" t="s">
        <v>7</v>
      </c>
      <c r="M14" s="295">
        <v>3</v>
      </c>
      <c r="N14" s="52" t="str">
        <f>SUBSTITUTE(C14,TEXT(B14,"g/標準")&amp;" ","")</f>
        <v>カナダ・ドル (CAD)</v>
      </c>
      <c r="O14" s="53">
        <f>VALUE($K14)/$B14*$B$13</f>
        <v>111.1293</v>
      </c>
      <c r="Q14" s="33"/>
      <c r="R14" s="32"/>
      <c r="S14" s="32"/>
      <c r="T14" s="32"/>
      <c r="V14" s="32">
        <f>VALUE($K14)/$B14*$B$13</f>
        <v>111.1293</v>
      </c>
    </row>
    <row r="15" spans="1:22">
      <c r="A15" s="9"/>
      <c r="B15" s="1">
        <v>1</v>
      </c>
      <c r="C15" s="1" t="s">
        <v>782</v>
      </c>
      <c r="I15" s="1" t="s">
        <v>8</v>
      </c>
      <c r="K15" s="20" t="s">
        <v>981</v>
      </c>
      <c r="L15" s="12" t="s">
        <v>8</v>
      </c>
      <c r="M15" s="295">
        <v>4</v>
      </c>
      <c r="N15" s="52" t="str">
        <f t="shared" ref="N15:N74" si="0">SUBSTITUTE(C15,TEXT(B15,"g/標準")&amp;" ","")</f>
        <v>中国元 (CNY)</v>
      </c>
      <c r="O15" s="53">
        <f t="shared" ref="O15:O74" si="1">VALUE($K15)/$B15*$B$13</f>
        <v>22.0383</v>
      </c>
    </row>
    <row r="16" spans="1:22">
      <c r="A16" s="9"/>
      <c r="B16" s="1">
        <v>1</v>
      </c>
      <c r="C16" s="1" t="s">
        <v>784</v>
      </c>
      <c r="I16" s="1" t="s">
        <v>8</v>
      </c>
      <c r="K16" s="20" t="s">
        <v>982</v>
      </c>
      <c r="L16" s="12" t="s">
        <v>8</v>
      </c>
      <c r="M16" s="295">
        <v>5</v>
      </c>
      <c r="N16" s="52" t="str">
        <f t="shared" si="0"/>
        <v>スウェーデン・クローネ (SEK)</v>
      </c>
      <c r="O16" s="53">
        <f t="shared" si="1"/>
        <v>16.4115</v>
      </c>
    </row>
    <row r="17" spans="1:15">
      <c r="A17" s="9"/>
      <c r="B17" s="1">
        <v>1</v>
      </c>
      <c r="C17" s="1" t="s">
        <v>785</v>
      </c>
      <c r="I17" s="1" t="s">
        <v>8</v>
      </c>
      <c r="K17" s="20" t="s">
        <v>742</v>
      </c>
      <c r="L17" s="12" t="s">
        <v>8</v>
      </c>
      <c r="M17" s="295">
        <v>6</v>
      </c>
      <c r="N17" s="52" t="str">
        <f t="shared" si="0"/>
        <v>スイス・フラン (CHF)</v>
      </c>
      <c r="O17" s="53">
        <f t="shared" si="1"/>
        <v>193.81200000000001</v>
      </c>
    </row>
    <row r="18" spans="1:15" ht="15.75" customHeight="1">
      <c r="A18" s="9"/>
      <c r="B18" s="1">
        <v>1</v>
      </c>
      <c r="C18" s="1" t="s">
        <v>787</v>
      </c>
      <c r="I18" s="1" t="s">
        <v>8</v>
      </c>
      <c r="K18" s="20" t="s">
        <v>983</v>
      </c>
      <c r="L18" s="12" t="s">
        <v>8</v>
      </c>
      <c r="M18" s="295">
        <v>7</v>
      </c>
      <c r="N18" s="52" t="str">
        <f t="shared" si="0"/>
        <v>スターリング・ポンド (GBP)</v>
      </c>
      <c r="O18" s="53">
        <f t="shared" si="1"/>
        <v>204.75300000000001</v>
      </c>
    </row>
    <row r="19" spans="1:15" ht="15.75" customHeight="1">
      <c r="A19" s="9"/>
      <c r="B19" s="1">
        <v>1</v>
      </c>
      <c r="C19" s="1" t="s">
        <v>789</v>
      </c>
      <c r="I19" s="1" t="s">
        <v>8</v>
      </c>
      <c r="K19" s="20" t="s">
        <v>984</v>
      </c>
      <c r="L19" s="12" t="s">
        <v>8</v>
      </c>
      <c r="M19" s="295">
        <v>8</v>
      </c>
      <c r="N19" s="52" t="str">
        <f t="shared" si="0"/>
        <v>ユーロ (EUR)</v>
      </c>
      <c r="O19" s="53">
        <f t="shared" si="1"/>
        <v>181.30799999999999</v>
      </c>
    </row>
    <row r="20" spans="1:15">
      <c r="A20" s="9"/>
      <c r="B20" s="1">
        <v>1</v>
      </c>
      <c r="C20" s="1" t="s">
        <v>791</v>
      </c>
      <c r="I20" s="1" t="s">
        <v>8</v>
      </c>
      <c r="K20" s="20" t="s">
        <v>725</v>
      </c>
      <c r="L20" s="12" t="s">
        <v>8</v>
      </c>
      <c r="M20" s="295">
        <v>9</v>
      </c>
      <c r="N20" s="52" t="str">
        <f t="shared" si="0"/>
        <v>アラブ首長国連邦ディルハム (AED)</v>
      </c>
      <c r="O20" s="53">
        <f t="shared" si="1"/>
        <v>42.513600000000004</v>
      </c>
    </row>
    <row r="21" spans="1:15">
      <c r="A21" s="9"/>
      <c r="B21" s="1">
        <v>1</v>
      </c>
      <c r="C21" s="1" t="s">
        <v>792</v>
      </c>
      <c r="I21" s="1" t="s">
        <v>8</v>
      </c>
      <c r="K21" s="20" t="s">
        <v>985</v>
      </c>
      <c r="L21" s="12" t="s">
        <v>8</v>
      </c>
      <c r="M21" s="295">
        <v>10</v>
      </c>
      <c r="N21" s="52" t="str">
        <f t="shared" si="0"/>
        <v>アルゼンチン・ペソ (ARS)</v>
      </c>
      <c r="O21" s="53">
        <f t="shared" si="1"/>
        <v>0.10941000000000001</v>
      </c>
    </row>
    <row r="22" spans="1:15">
      <c r="A22" s="9"/>
      <c r="B22" s="1">
        <v>1</v>
      </c>
      <c r="C22" s="1" t="s">
        <v>794</v>
      </c>
      <c r="I22" s="1" t="s">
        <v>8</v>
      </c>
      <c r="K22" s="20" t="s">
        <v>986</v>
      </c>
      <c r="L22" s="12" t="s">
        <v>8</v>
      </c>
      <c r="M22" s="295">
        <v>11</v>
      </c>
      <c r="N22" s="52" t="str">
        <f t="shared" si="0"/>
        <v>イスラエル・シェケル (ILS)</v>
      </c>
      <c r="O22" s="53">
        <f t="shared" si="1"/>
        <v>47.984100000000005</v>
      </c>
    </row>
    <row r="23" spans="1:15">
      <c r="A23" s="9"/>
      <c r="B23" s="1">
        <v>1</v>
      </c>
      <c r="C23" s="1" t="s">
        <v>795</v>
      </c>
      <c r="F23" s="3"/>
      <c r="I23" s="1" t="s">
        <v>8</v>
      </c>
      <c r="K23" s="20" t="s">
        <v>743</v>
      </c>
      <c r="L23" s="12" t="s">
        <v>8</v>
      </c>
      <c r="M23" s="295">
        <v>12</v>
      </c>
      <c r="N23" s="52" t="str">
        <f t="shared" si="0"/>
        <v xml:space="preserve">イラン・リアル (IRR) </v>
      </c>
      <c r="O23" s="53">
        <f t="shared" si="1"/>
        <v>3.5949000000000002E-4</v>
      </c>
    </row>
    <row r="24" spans="1:15">
      <c r="A24" s="9"/>
      <c r="B24" s="1">
        <v>1</v>
      </c>
      <c r="C24" s="1" t="s">
        <v>796</v>
      </c>
      <c r="I24" s="1" t="s">
        <v>8</v>
      </c>
      <c r="K24" s="20" t="s">
        <v>987</v>
      </c>
      <c r="L24" s="12" t="s">
        <v>8</v>
      </c>
      <c r="M24" s="295">
        <v>13</v>
      </c>
      <c r="N24" s="52" t="str">
        <f t="shared" si="0"/>
        <v>インド・ルピー (INR)</v>
      </c>
      <c r="O24" s="53">
        <f t="shared" si="1"/>
        <v>1.7661899999999999</v>
      </c>
    </row>
    <row r="25" spans="1:15">
      <c r="A25" s="9"/>
      <c r="B25" s="1">
        <v>100</v>
      </c>
      <c r="C25" s="1" t="s">
        <v>798</v>
      </c>
      <c r="I25" s="1" t="s">
        <v>8</v>
      </c>
      <c r="K25" s="20" t="s">
        <v>988</v>
      </c>
      <c r="L25" s="12" t="s">
        <v>8</v>
      </c>
      <c r="M25" s="295">
        <v>14</v>
      </c>
      <c r="N25" s="52" t="str">
        <f t="shared" si="0"/>
        <v>インドネシア・ルピア (IDR)</v>
      </c>
      <c r="O25" s="53">
        <f t="shared" si="1"/>
        <v>9.3623700000000001E-3</v>
      </c>
    </row>
    <row r="26" spans="1:15">
      <c r="A26" s="9"/>
      <c r="B26" s="1">
        <v>1</v>
      </c>
      <c r="C26" s="1" t="s">
        <v>800</v>
      </c>
      <c r="I26" s="1" t="s">
        <v>8</v>
      </c>
      <c r="K26" s="20" t="s">
        <v>744</v>
      </c>
      <c r="L26" s="12" t="s">
        <v>8</v>
      </c>
      <c r="M26" s="295">
        <v>15</v>
      </c>
      <c r="N26" s="52" t="str">
        <f t="shared" si="0"/>
        <v>オーストラリア・ドル (AUD)</v>
      </c>
      <c r="O26" s="53">
        <f t="shared" si="1"/>
        <v>101.59500000000001</v>
      </c>
    </row>
    <row r="27" spans="1:15">
      <c r="A27" s="9"/>
      <c r="B27" s="1">
        <v>1</v>
      </c>
      <c r="C27" s="1" t="s">
        <v>802</v>
      </c>
      <c r="G27" s="21"/>
      <c r="I27" s="1" t="s">
        <v>8</v>
      </c>
      <c r="K27" s="20" t="s">
        <v>452</v>
      </c>
      <c r="L27" s="12" t="s">
        <v>8</v>
      </c>
      <c r="M27" s="295">
        <v>16</v>
      </c>
      <c r="N27" s="52" t="str">
        <f t="shared" si="0"/>
        <v>オマーン・リアル (OMR)</v>
      </c>
      <c r="O27" s="53">
        <f t="shared" si="1"/>
        <v>406.38000000000005</v>
      </c>
    </row>
    <row r="28" spans="1:15">
      <c r="A28" s="9"/>
      <c r="B28" s="1">
        <v>1</v>
      </c>
      <c r="C28" s="1" t="s">
        <v>803</v>
      </c>
      <c r="I28" s="1" t="s">
        <v>8</v>
      </c>
      <c r="K28" s="20" t="s">
        <v>745</v>
      </c>
      <c r="L28" s="12" t="s">
        <v>8</v>
      </c>
      <c r="M28" s="295">
        <v>17</v>
      </c>
      <c r="N28" s="52" t="str">
        <f t="shared" si="0"/>
        <v>カタール・リアル (QAR)</v>
      </c>
      <c r="O28" s="53">
        <f t="shared" si="1"/>
        <v>42.826200000000007</v>
      </c>
    </row>
    <row r="29" spans="1:15">
      <c r="A29" s="9"/>
      <c r="B29" s="1">
        <v>100</v>
      </c>
      <c r="C29" s="1" t="s">
        <v>804</v>
      </c>
      <c r="I29" s="1" t="s">
        <v>8</v>
      </c>
      <c r="K29" s="20" t="s">
        <v>989</v>
      </c>
      <c r="L29" s="12" t="s">
        <v>8</v>
      </c>
      <c r="M29" s="295">
        <v>18</v>
      </c>
      <c r="N29" s="52" t="str">
        <f t="shared" si="0"/>
        <v>韓国ウォン (KRW)</v>
      </c>
      <c r="O29" s="53">
        <f t="shared" si="1"/>
        <v>0.10706550000000002</v>
      </c>
    </row>
    <row r="30" spans="1:15">
      <c r="A30" s="9"/>
      <c r="B30" s="1">
        <v>100</v>
      </c>
      <c r="C30" s="1" t="s">
        <v>806</v>
      </c>
      <c r="I30" s="1" t="s">
        <v>8</v>
      </c>
      <c r="K30" s="20" t="s">
        <v>990</v>
      </c>
      <c r="L30" s="12" t="s">
        <v>8</v>
      </c>
      <c r="M30" s="295">
        <v>19</v>
      </c>
      <c r="N30" s="52" t="str">
        <f t="shared" si="0"/>
        <v>カンボジア・リエル (KHR)</v>
      </c>
      <c r="O30" s="53">
        <f t="shared" si="1"/>
        <v>3.8918700000000001E-2</v>
      </c>
    </row>
    <row r="31" spans="1:15">
      <c r="A31" s="9"/>
      <c r="B31" s="1">
        <v>1</v>
      </c>
      <c r="C31" s="1" t="s">
        <v>808</v>
      </c>
      <c r="I31" s="1" t="s">
        <v>8</v>
      </c>
      <c r="K31" s="20" t="s">
        <v>991</v>
      </c>
      <c r="L31" s="12" t="s">
        <v>8</v>
      </c>
      <c r="M31" s="295">
        <v>20</v>
      </c>
      <c r="N31" s="52" t="str">
        <f t="shared" si="0"/>
        <v>クウェート・ディナール (KWD)</v>
      </c>
      <c r="O31" s="53">
        <f t="shared" si="1"/>
        <v>509.53800000000001</v>
      </c>
    </row>
    <row r="32" spans="1:15">
      <c r="A32" s="9"/>
      <c r="B32" s="1">
        <v>1</v>
      </c>
      <c r="C32" s="1" t="s">
        <v>810</v>
      </c>
      <c r="I32" s="1" t="s">
        <v>8</v>
      </c>
      <c r="K32" s="20" t="s">
        <v>992</v>
      </c>
      <c r="L32" s="12" t="s">
        <v>8</v>
      </c>
      <c r="M32" s="295">
        <v>21</v>
      </c>
      <c r="N32" s="52" t="str">
        <f t="shared" si="0"/>
        <v>ケニア・シリング (KES)</v>
      </c>
      <c r="O32" s="53">
        <f t="shared" si="1"/>
        <v>1.208199</v>
      </c>
    </row>
    <row r="33" spans="1:15">
      <c r="A33" s="9"/>
      <c r="B33" s="1">
        <v>100</v>
      </c>
      <c r="C33" s="1" t="s">
        <v>812</v>
      </c>
      <c r="I33" s="1" t="s">
        <v>8</v>
      </c>
      <c r="K33" s="20" t="s">
        <v>993</v>
      </c>
      <c r="L33" s="12" t="s">
        <v>8</v>
      </c>
      <c r="M33" s="295">
        <v>22</v>
      </c>
      <c r="N33" s="52" t="str">
        <f t="shared" si="0"/>
        <v>コロンビア・ペソ (COP)</v>
      </c>
      <c r="O33" s="53">
        <f t="shared" si="1"/>
        <v>4.1419500000000005E-2</v>
      </c>
    </row>
    <row r="34" spans="1:15">
      <c r="A34" s="9"/>
      <c r="B34" s="1">
        <v>1</v>
      </c>
      <c r="C34" s="1" t="s">
        <v>814</v>
      </c>
      <c r="I34" s="1" t="s">
        <v>8</v>
      </c>
      <c r="K34" s="20" t="s">
        <v>746</v>
      </c>
      <c r="L34" s="12" t="s">
        <v>8</v>
      </c>
      <c r="M34" s="295">
        <v>23</v>
      </c>
      <c r="N34" s="52" t="str">
        <f t="shared" si="0"/>
        <v>サウジアラビア・リアル (SAR)</v>
      </c>
      <c r="O34" s="53">
        <f t="shared" si="1"/>
        <v>41.732100000000003</v>
      </c>
    </row>
    <row r="35" spans="1:15">
      <c r="A35" s="9"/>
      <c r="B35" s="1">
        <v>1</v>
      </c>
      <c r="C35" s="1" t="s">
        <v>815</v>
      </c>
      <c r="I35" s="1" t="s">
        <v>8</v>
      </c>
      <c r="K35" s="20" t="s">
        <v>994</v>
      </c>
      <c r="L35" s="12" t="s">
        <v>8</v>
      </c>
      <c r="M35" s="295">
        <v>24</v>
      </c>
      <c r="N35" s="52" t="str">
        <f t="shared" si="0"/>
        <v>シンガポール・ドル(SGD)</v>
      </c>
      <c r="O35" s="53">
        <f t="shared" si="1"/>
        <v>120.03840000000001</v>
      </c>
    </row>
    <row r="36" spans="1:15">
      <c r="A36" s="9"/>
      <c r="B36" s="1">
        <v>100</v>
      </c>
      <c r="C36" s="1" t="s">
        <v>817</v>
      </c>
      <c r="I36" s="1" t="s">
        <v>8</v>
      </c>
      <c r="K36" s="20" t="s">
        <v>995</v>
      </c>
      <c r="L36" s="12" t="s">
        <v>8</v>
      </c>
      <c r="M36" s="295">
        <v>25</v>
      </c>
      <c r="N36" s="52" t="str">
        <f t="shared" si="0"/>
        <v>新台湾ドル (TWD)</v>
      </c>
      <c r="O36" s="53">
        <f t="shared" si="1"/>
        <v>5.0172299999999996</v>
      </c>
    </row>
    <row r="37" spans="1:15">
      <c r="A37" s="9"/>
      <c r="B37" s="1">
        <v>100</v>
      </c>
      <c r="C37" s="1" t="s">
        <v>819</v>
      </c>
      <c r="I37" s="1" t="s">
        <v>8</v>
      </c>
      <c r="K37" s="20" t="s">
        <v>996</v>
      </c>
      <c r="L37" s="12" t="s">
        <v>8</v>
      </c>
      <c r="M37" s="295">
        <v>26</v>
      </c>
      <c r="N37" s="52" t="str">
        <f t="shared" si="0"/>
        <v>スリランカ・ルピー (LKR)</v>
      </c>
      <c r="O37" s="53">
        <f t="shared" si="1"/>
        <v>0.51110100000000014</v>
      </c>
    </row>
    <row r="38" spans="1:15">
      <c r="A38" s="9"/>
      <c r="B38" s="1">
        <v>1</v>
      </c>
      <c r="C38" s="1" t="s">
        <v>821</v>
      </c>
      <c r="I38" s="1" t="s">
        <v>8</v>
      </c>
      <c r="K38" s="20" t="s">
        <v>997</v>
      </c>
      <c r="L38" s="12" t="s">
        <v>8</v>
      </c>
      <c r="M38" s="295">
        <v>27</v>
      </c>
      <c r="N38" s="52" t="str">
        <f t="shared" si="0"/>
        <v>セーシェル・ルピー (SCR)</v>
      </c>
      <c r="O38" s="53">
        <f t="shared" si="1"/>
        <v>11.03478</v>
      </c>
    </row>
    <row r="39" spans="1:15">
      <c r="A39" s="9"/>
      <c r="B39" s="1">
        <v>100</v>
      </c>
      <c r="C39" s="1" t="s">
        <v>823</v>
      </c>
      <c r="I39" s="1" t="s">
        <v>8</v>
      </c>
      <c r="K39" s="20" t="s">
        <v>818</v>
      </c>
      <c r="L39" s="12" t="s">
        <v>8</v>
      </c>
      <c r="M39" s="295">
        <v>28</v>
      </c>
      <c r="N39" s="52" t="str">
        <f t="shared" si="0"/>
        <v>タイ・バーツ (THB)</v>
      </c>
      <c r="O39" s="53">
        <f t="shared" si="1"/>
        <v>4.8296700000000001</v>
      </c>
    </row>
    <row r="40" spans="1:15">
      <c r="A40" s="9"/>
      <c r="B40" s="1">
        <v>100</v>
      </c>
      <c r="C40" s="1" t="s">
        <v>825</v>
      </c>
      <c r="I40" s="1" t="s">
        <v>8</v>
      </c>
      <c r="K40" s="20" t="s">
        <v>998</v>
      </c>
      <c r="L40" s="12" t="s">
        <v>8</v>
      </c>
      <c r="M40" s="295">
        <v>29</v>
      </c>
      <c r="N40" s="52" t="str">
        <f t="shared" si="0"/>
        <v>タヒチ・パシフィックフラン (XPF)</v>
      </c>
      <c r="O40" s="53">
        <f t="shared" si="1"/>
        <v>1.5145469999999999</v>
      </c>
    </row>
    <row r="41" spans="1:15">
      <c r="A41" s="9"/>
      <c r="B41" s="1">
        <v>1</v>
      </c>
      <c r="C41" s="1" t="s">
        <v>827</v>
      </c>
      <c r="I41" s="1" t="s">
        <v>8</v>
      </c>
      <c r="K41" s="20" t="s">
        <v>999</v>
      </c>
      <c r="L41" s="12" t="s">
        <v>8</v>
      </c>
      <c r="M41" s="295">
        <v>30</v>
      </c>
      <c r="N41" s="52" t="str">
        <f t="shared" si="0"/>
        <v>チェコ・コルナ (CZK)</v>
      </c>
      <c r="O41" s="53">
        <f t="shared" si="1"/>
        <v>7.4555100000000003</v>
      </c>
    </row>
    <row r="42" spans="1:15">
      <c r="A42" s="9"/>
      <c r="B42" s="1">
        <v>100</v>
      </c>
      <c r="C42" s="1" t="s">
        <v>829</v>
      </c>
      <c r="I42" s="1" t="s">
        <v>8</v>
      </c>
      <c r="K42" s="20" t="s">
        <v>1000</v>
      </c>
      <c r="L42" s="12" t="s">
        <v>8</v>
      </c>
      <c r="M42" s="295">
        <v>31</v>
      </c>
      <c r="N42" s="52" t="str">
        <f t="shared" si="0"/>
        <v>チリ・ペソ (CLP)</v>
      </c>
      <c r="O42" s="53">
        <f t="shared" si="1"/>
        <v>0.167241</v>
      </c>
    </row>
    <row r="43" spans="1:15">
      <c r="A43" s="9"/>
      <c r="B43" s="1">
        <v>1</v>
      </c>
      <c r="C43" s="1" t="s">
        <v>831</v>
      </c>
      <c r="I43" s="1" t="s">
        <v>8</v>
      </c>
      <c r="K43" s="20" t="s">
        <v>1001</v>
      </c>
      <c r="L43" s="12" t="s">
        <v>8</v>
      </c>
      <c r="M43" s="295">
        <v>32</v>
      </c>
      <c r="N43" s="52" t="str">
        <f t="shared" si="0"/>
        <v>デンマーク・クローネ (DKK)</v>
      </c>
      <c r="O43" s="53">
        <f t="shared" si="1"/>
        <v>24.226500000000001</v>
      </c>
    </row>
    <row r="44" spans="1:15">
      <c r="A44" s="9"/>
      <c r="B44" s="1">
        <v>1</v>
      </c>
      <c r="C44" s="1" t="s">
        <v>833</v>
      </c>
      <c r="I44" s="1" t="s">
        <v>8</v>
      </c>
      <c r="K44" s="20" t="s">
        <v>727</v>
      </c>
      <c r="L44" s="12" t="s">
        <v>8</v>
      </c>
      <c r="M44" s="295">
        <v>33</v>
      </c>
      <c r="N44" s="52" t="str">
        <f t="shared" si="0"/>
        <v>トリニダード・トバゴ・ドル (TTD)</v>
      </c>
      <c r="O44" s="53">
        <f t="shared" si="1"/>
        <v>23.132400000000001</v>
      </c>
    </row>
    <row r="45" spans="1:15">
      <c r="A45" s="9"/>
      <c r="B45" s="1">
        <v>1</v>
      </c>
      <c r="C45" s="1" t="s">
        <v>834</v>
      </c>
      <c r="I45" s="1" t="s">
        <v>8</v>
      </c>
      <c r="K45" s="20" t="s">
        <v>1002</v>
      </c>
      <c r="L45" s="12" t="s">
        <v>8</v>
      </c>
      <c r="M45" s="295">
        <v>34</v>
      </c>
      <c r="N45" s="52" t="str">
        <f t="shared" si="0"/>
        <v>トルコ・リラ (TRY)</v>
      </c>
      <c r="O45" s="53">
        <f t="shared" si="1"/>
        <v>3.70431</v>
      </c>
    </row>
    <row r="46" spans="1:15">
      <c r="A46" s="9"/>
      <c r="B46" s="1">
        <v>1</v>
      </c>
      <c r="C46" s="1" t="s">
        <v>836</v>
      </c>
      <c r="I46" s="1" t="s">
        <v>8</v>
      </c>
      <c r="K46" s="20" t="s">
        <v>1003</v>
      </c>
      <c r="L46" s="12" t="s">
        <v>8</v>
      </c>
      <c r="M46" s="295">
        <v>35</v>
      </c>
      <c r="N46" s="52" t="str">
        <f t="shared" si="0"/>
        <v>ナイジェリア・ナイラ (NGN)</v>
      </c>
      <c r="O46" s="53">
        <f t="shared" si="1"/>
        <v>0.10815960000000001</v>
      </c>
    </row>
    <row r="47" spans="1:15">
      <c r="A47" s="9"/>
      <c r="B47" s="1">
        <v>1</v>
      </c>
      <c r="C47" s="1" t="s">
        <v>838</v>
      </c>
      <c r="I47" s="1" t="s">
        <v>8</v>
      </c>
      <c r="K47" s="20" t="s">
        <v>1004</v>
      </c>
      <c r="L47" s="12" t="s">
        <v>8</v>
      </c>
      <c r="M47" s="295">
        <v>36</v>
      </c>
      <c r="N47" s="52" t="str">
        <f t="shared" si="0"/>
        <v>ニュージーランド・ドル (NZD)</v>
      </c>
      <c r="O47" s="53">
        <f t="shared" si="1"/>
        <v>88.3095</v>
      </c>
    </row>
    <row r="48" spans="1:15">
      <c r="A48" s="9"/>
      <c r="B48" s="1">
        <v>1</v>
      </c>
      <c r="C48" s="1" t="s">
        <v>840</v>
      </c>
      <c r="I48" s="1" t="s">
        <v>8</v>
      </c>
      <c r="K48" s="20" t="s">
        <v>750</v>
      </c>
      <c r="L48" s="12" t="s">
        <v>8</v>
      </c>
      <c r="M48" s="295">
        <v>37</v>
      </c>
      <c r="N48" s="52" t="str">
        <f t="shared" si="0"/>
        <v>ノルウェー・クローネ (NOK)</v>
      </c>
      <c r="O48" s="53">
        <f t="shared" si="1"/>
        <v>15.395550000000002</v>
      </c>
    </row>
    <row r="49" spans="1:15">
      <c r="A49" s="9"/>
      <c r="B49" s="1">
        <v>1</v>
      </c>
      <c r="C49" s="1" t="s">
        <v>842</v>
      </c>
      <c r="I49" s="1" t="s">
        <v>8</v>
      </c>
      <c r="K49" s="20" t="s">
        <v>1005</v>
      </c>
      <c r="L49" s="12" t="s">
        <v>8</v>
      </c>
      <c r="M49" s="295">
        <v>38</v>
      </c>
      <c r="N49" s="52" t="str">
        <f t="shared" si="0"/>
        <v>パキスタン・ルピー (PKR)</v>
      </c>
      <c r="O49" s="53">
        <f t="shared" si="1"/>
        <v>0.55486500000000005</v>
      </c>
    </row>
    <row r="50" spans="1:15">
      <c r="A50" s="9"/>
      <c r="B50" s="1">
        <v>100</v>
      </c>
      <c r="C50" s="1" t="s">
        <v>844</v>
      </c>
      <c r="I50" s="1" t="s">
        <v>8</v>
      </c>
      <c r="K50" s="20" t="s">
        <v>1006</v>
      </c>
      <c r="L50" s="12" t="s">
        <v>846</v>
      </c>
      <c r="M50" s="295">
        <v>39</v>
      </c>
      <c r="N50" s="52" t="str">
        <f t="shared" si="0"/>
        <v>バヌアツ・バツ (VUV)</v>
      </c>
      <c r="O50" s="53">
        <f t="shared" si="1"/>
        <v>1.2785340000000001</v>
      </c>
    </row>
    <row r="51" spans="1:15">
      <c r="A51" s="9"/>
      <c r="B51" s="1">
        <v>1</v>
      </c>
      <c r="C51" s="1" t="s">
        <v>847</v>
      </c>
      <c r="I51" s="1" t="s">
        <v>8</v>
      </c>
      <c r="K51" s="20" t="s">
        <v>1007</v>
      </c>
      <c r="L51" s="12" t="s">
        <v>8</v>
      </c>
      <c r="M51" s="295">
        <v>40</v>
      </c>
      <c r="N51" s="52" t="str">
        <f t="shared" si="0"/>
        <v>パプアニューギニア・キナ (PGK)</v>
      </c>
      <c r="O51" s="53">
        <f t="shared" si="1"/>
        <v>36.886800000000001</v>
      </c>
    </row>
    <row r="52" spans="1:15">
      <c r="A52" s="9"/>
      <c r="B52" s="1">
        <v>1</v>
      </c>
      <c r="C52" s="1" t="s">
        <v>849</v>
      </c>
      <c r="I52" s="1" t="s">
        <v>8</v>
      </c>
      <c r="K52" s="20" t="s">
        <v>728</v>
      </c>
      <c r="L52" s="12" t="s">
        <v>8</v>
      </c>
      <c r="M52" s="295">
        <v>41</v>
      </c>
      <c r="N52" s="52" t="str">
        <f t="shared" si="0"/>
        <v>バーレーン・ディナール (BHD)</v>
      </c>
      <c r="O52" s="53">
        <f t="shared" si="1"/>
        <v>414.19499999999999</v>
      </c>
    </row>
    <row r="53" spans="1:15">
      <c r="A53" s="9"/>
      <c r="B53" s="1">
        <v>100</v>
      </c>
      <c r="C53" s="1" t="s">
        <v>850</v>
      </c>
      <c r="I53" s="1" t="s">
        <v>8</v>
      </c>
      <c r="K53" s="20" t="s">
        <v>1008</v>
      </c>
      <c r="L53" s="12" t="s">
        <v>8</v>
      </c>
      <c r="M53" s="295">
        <v>42</v>
      </c>
      <c r="N53" s="52" t="str">
        <f t="shared" si="0"/>
        <v>ハンガリー・フォリント (HUF)</v>
      </c>
      <c r="O53" s="53">
        <f t="shared" si="1"/>
        <v>0.47046300000000008</v>
      </c>
    </row>
    <row r="54" spans="1:15">
      <c r="A54" s="9"/>
      <c r="B54" s="1">
        <v>100</v>
      </c>
      <c r="C54" s="1" t="s">
        <v>852</v>
      </c>
      <c r="I54" s="1" t="s">
        <v>8</v>
      </c>
      <c r="K54" s="20" t="s">
        <v>1009</v>
      </c>
      <c r="L54" s="12" t="s">
        <v>8</v>
      </c>
      <c r="M54" s="295">
        <v>43</v>
      </c>
      <c r="N54" s="52" t="str">
        <f t="shared" si="0"/>
        <v>バングラデシュ・タカ (BDT)</v>
      </c>
      <c r="O54" s="53">
        <f t="shared" si="1"/>
        <v>1.280097</v>
      </c>
    </row>
    <row r="55" spans="1:15">
      <c r="A55" s="9"/>
      <c r="B55" s="1">
        <v>1</v>
      </c>
      <c r="C55" s="1" t="s">
        <v>854</v>
      </c>
      <c r="I55" s="1" t="s">
        <v>8</v>
      </c>
      <c r="K55" s="20" t="s">
        <v>1010</v>
      </c>
      <c r="L55" s="12" t="s">
        <v>8</v>
      </c>
      <c r="M55" s="295">
        <v>44</v>
      </c>
      <c r="N55" s="52" t="str">
        <f t="shared" si="0"/>
        <v>フィジー・ドル (FJD)</v>
      </c>
      <c r="O55" s="53">
        <f t="shared" si="1"/>
        <v>68.146799999999999</v>
      </c>
    </row>
    <row r="56" spans="1:15">
      <c r="A56" s="9"/>
      <c r="B56" s="1">
        <v>1</v>
      </c>
      <c r="C56" s="1" t="s">
        <v>856</v>
      </c>
      <c r="I56" s="1" t="s">
        <v>8</v>
      </c>
      <c r="K56" s="20" t="s">
        <v>857</v>
      </c>
      <c r="L56" s="12" t="s">
        <v>8</v>
      </c>
      <c r="M56" s="295">
        <v>45</v>
      </c>
      <c r="N56" s="52" t="str">
        <f t="shared" si="0"/>
        <v>フィリピン・ペソ (PHP)</v>
      </c>
      <c r="O56" s="53">
        <f t="shared" si="1"/>
        <v>2.6571000000000002</v>
      </c>
    </row>
    <row r="57" spans="1:15">
      <c r="A57" s="9"/>
      <c r="B57" s="1">
        <v>1</v>
      </c>
      <c r="C57" s="1" t="s">
        <v>858</v>
      </c>
      <c r="I57" s="1" t="s">
        <v>8</v>
      </c>
      <c r="K57" s="20" t="s">
        <v>1011</v>
      </c>
      <c r="L57" s="12" t="s">
        <v>8</v>
      </c>
      <c r="M57" s="295">
        <v>46</v>
      </c>
      <c r="N57" s="52" t="str">
        <f t="shared" si="0"/>
        <v>ブラジル・レアル (BRL)</v>
      </c>
      <c r="O57" s="53">
        <f t="shared" si="1"/>
        <v>29.228100000000001</v>
      </c>
    </row>
    <row r="58" spans="1:15">
      <c r="A58" s="9"/>
      <c r="B58" s="1">
        <v>1</v>
      </c>
      <c r="C58" s="1" t="s">
        <v>860</v>
      </c>
      <c r="I58" s="1" t="s">
        <v>8</v>
      </c>
      <c r="K58" s="20" t="s">
        <v>994</v>
      </c>
      <c r="L58" s="12" t="s">
        <v>8</v>
      </c>
      <c r="M58" s="295">
        <v>47</v>
      </c>
      <c r="N58" s="52" t="str">
        <f t="shared" si="0"/>
        <v>ブルネイ・ドル (BND)</v>
      </c>
      <c r="O58" s="53">
        <f t="shared" si="1"/>
        <v>120.03840000000001</v>
      </c>
    </row>
    <row r="59" spans="1:15">
      <c r="A59" s="9"/>
      <c r="B59" s="1">
        <v>100</v>
      </c>
      <c r="C59" s="1" t="s">
        <v>861</v>
      </c>
      <c r="I59" s="1" t="s">
        <v>8</v>
      </c>
      <c r="K59" s="20" t="s">
        <v>1012</v>
      </c>
      <c r="L59" s="12" t="s">
        <v>8</v>
      </c>
      <c r="M59" s="295">
        <v>48</v>
      </c>
      <c r="N59" s="52" t="str">
        <f t="shared" si="0"/>
        <v>ベトナム・ドン (VND)</v>
      </c>
      <c r="O59" s="53">
        <f t="shared" si="1"/>
        <v>5.9394000000000009E-3</v>
      </c>
    </row>
    <row r="60" spans="1:15">
      <c r="A60" s="9"/>
      <c r="B60" s="1">
        <v>1</v>
      </c>
      <c r="C60" s="1" t="s">
        <v>863</v>
      </c>
      <c r="I60" s="1" t="s">
        <v>8</v>
      </c>
      <c r="K60" s="20" t="s">
        <v>1013</v>
      </c>
      <c r="L60" s="12" t="s">
        <v>8</v>
      </c>
      <c r="M60" s="295">
        <v>49</v>
      </c>
      <c r="N60" s="52" t="str">
        <f t="shared" si="0"/>
        <v>ベネズエラ・ボリーバル (VES)</v>
      </c>
      <c r="O60" s="53">
        <f t="shared" si="1"/>
        <v>0.67834200000000011</v>
      </c>
    </row>
    <row r="61" spans="1:15">
      <c r="A61" s="9"/>
      <c r="B61" s="1">
        <v>1</v>
      </c>
      <c r="C61" s="1" t="s">
        <v>865</v>
      </c>
      <c r="I61" s="1" t="s">
        <v>8</v>
      </c>
      <c r="K61" s="20" t="s">
        <v>1014</v>
      </c>
      <c r="L61" s="12" t="s">
        <v>8</v>
      </c>
      <c r="M61" s="295">
        <v>50</v>
      </c>
      <c r="N61" s="52" t="str">
        <f t="shared" si="0"/>
        <v>ペルー・ヌエボ・ソル (PEN)</v>
      </c>
      <c r="O61" s="53">
        <f t="shared" si="1"/>
        <v>46.421100000000003</v>
      </c>
    </row>
    <row r="62" spans="1:15">
      <c r="A62" s="9"/>
      <c r="B62" s="1">
        <v>1</v>
      </c>
      <c r="C62" s="1" t="s">
        <v>867</v>
      </c>
      <c r="I62" s="1" t="s">
        <v>8</v>
      </c>
      <c r="K62" s="20" t="s">
        <v>1015</v>
      </c>
      <c r="L62" s="12" t="s">
        <v>8</v>
      </c>
      <c r="M62" s="295">
        <v>51</v>
      </c>
      <c r="N62" s="52" t="str">
        <f t="shared" si="0"/>
        <v>ポーランド・ズロチ (PLN)</v>
      </c>
      <c r="O62" s="53">
        <f t="shared" si="1"/>
        <v>42.669900000000005</v>
      </c>
    </row>
    <row r="63" spans="1:15">
      <c r="A63" s="9"/>
      <c r="B63" s="1">
        <v>1</v>
      </c>
      <c r="C63" s="1" t="s">
        <v>869</v>
      </c>
      <c r="I63" s="1" t="s">
        <v>8</v>
      </c>
      <c r="K63" s="20" t="s">
        <v>870</v>
      </c>
      <c r="L63" s="12" t="s">
        <v>8</v>
      </c>
      <c r="M63" s="295">
        <v>52</v>
      </c>
      <c r="N63" s="52" t="str">
        <f t="shared" si="0"/>
        <v>香港ドル (HKD)</v>
      </c>
      <c r="O63" s="53">
        <f t="shared" si="1"/>
        <v>20.162700000000001</v>
      </c>
    </row>
    <row r="64" spans="1:15">
      <c r="A64" s="9"/>
      <c r="B64" s="1">
        <v>1</v>
      </c>
      <c r="C64" s="1" t="s">
        <v>871</v>
      </c>
      <c r="I64" s="1" t="s">
        <v>8</v>
      </c>
      <c r="K64" s="20" t="s">
        <v>1016</v>
      </c>
      <c r="L64" s="12" t="s">
        <v>8</v>
      </c>
      <c r="M64" s="295">
        <v>53</v>
      </c>
      <c r="N64" s="52" t="str">
        <f t="shared" si="0"/>
        <v>マレーシア・リンギット (MYR)</v>
      </c>
      <c r="O64" s="53">
        <f t="shared" si="1"/>
        <v>37.668300000000002</v>
      </c>
    </row>
    <row r="65" spans="1:15">
      <c r="A65" s="9"/>
      <c r="B65" s="1">
        <v>1</v>
      </c>
      <c r="C65" s="1" t="s">
        <v>873</v>
      </c>
      <c r="I65" s="1" t="s">
        <v>8</v>
      </c>
      <c r="K65" s="20" t="s">
        <v>1017</v>
      </c>
      <c r="L65" s="12" t="s">
        <v>8</v>
      </c>
      <c r="M65" s="295">
        <v>54</v>
      </c>
      <c r="N65" s="52" t="str">
        <f t="shared" si="0"/>
        <v>南アフリカ・ラント (ZAR)</v>
      </c>
      <c r="O65" s="53">
        <f t="shared" si="1"/>
        <v>9.0654000000000003</v>
      </c>
    </row>
    <row r="66" spans="1:15">
      <c r="A66" s="9"/>
      <c r="B66" s="1">
        <v>1</v>
      </c>
      <c r="C66" s="1" t="s">
        <v>875</v>
      </c>
      <c r="I66" s="1" t="s">
        <v>8</v>
      </c>
      <c r="K66" s="20" t="s">
        <v>729</v>
      </c>
      <c r="L66" s="12" t="s">
        <v>8</v>
      </c>
      <c r="M66" s="295">
        <v>55</v>
      </c>
      <c r="N66" s="52" t="str">
        <f t="shared" si="0"/>
        <v>ミャンマー・チャット (MMK)</v>
      </c>
      <c r="O66" s="53">
        <f t="shared" si="1"/>
        <v>7.4398800000000015E-2</v>
      </c>
    </row>
    <row r="67" spans="1:15">
      <c r="A67" s="9"/>
      <c r="B67" s="1">
        <v>1</v>
      </c>
      <c r="C67" s="1" t="s">
        <v>876</v>
      </c>
      <c r="I67" s="1" t="s">
        <v>8</v>
      </c>
      <c r="K67" s="20" t="s">
        <v>1018</v>
      </c>
      <c r="L67" s="12" t="s">
        <v>8</v>
      </c>
      <c r="M67" s="295">
        <v>56</v>
      </c>
      <c r="N67" s="52" t="str">
        <f t="shared" si="0"/>
        <v>メキシコ・ペソ (MXN)</v>
      </c>
      <c r="O67" s="53">
        <f t="shared" si="1"/>
        <v>8.4870900000000002</v>
      </c>
    </row>
    <row r="68" spans="1:15">
      <c r="A68" s="9"/>
      <c r="B68" s="1">
        <v>1</v>
      </c>
      <c r="C68" s="1" t="s">
        <v>878</v>
      </c>
      <c r="I68" s="1" t="s">
        <v>8</v>
      </c>
      <c r="K68" s="20" t="s">
        <v>1019</v>
      </c>
      <c r="L68" s="12" t="s">
        <v>8</v>
      </c>
      <c r="M68" s="295">
        <v>57</v>
      </c>
      <c r="N68" s="52" t="str">
        <f t="shared" si="0"/>
        <v>モーリシャス・ルピー (MUR)</v>
      </c>
      <c r="O68" s="53">
        <f t="shared" si="1"/>
        <v>3.3917100000000002</v>
      </c>
    </row>
    <row r="69" spans="1:15">
      <c r="A69" s="9"/>
      <c r="B69" s="1">
        <v>1</v>
      </c>
      <c r="C69" s="1" t="s">
        <v>880</v>
      </c>
      <c r="I69" s="1" t="s">
        <v>8</v>
      </c>
      <c r="K69" s="20" t="s">
        <v>1020</v>
      </c>
      <c r="L69" s="12" t="s">
        <v>8</v>
      </c>
      <c r="M69" s="295">
        <v>58</v>
      </c>
      <c r="N69" s="52" t="str">
        <f t="shared" si="0"/>
        <v>モロッコ・ディルハム (MAD)</v>
      </c>
      <c r="O69" s="53">
        <f t="shared" si="1"/>
        <v>16.880400000000002</v>
      </c>
    </row>
    <row r="70" spans="1:15">
      <c r="A70" s="9"/>
      <c r="B70" s="1">
        <v>1</v>
      </c>
      <c r="C70" s="1" t="s">
        <v>882</v>
      </c>
      <c r="I70" s="1" t="s">
        <v>8</v>
      </c>
      <c r="K70" s="20" t="s">
        <v>730</v>
      </c>
      <c r="L70" s="12" t="s">
        <v>8</v>
      </c>
      <c r="M70" s="295">
        <v>59</v>
      </c>
      <c r="N70" s="52" t="str">
        <f t="shared" si="0"/>
        <v>ヨルダン・ディナール (JOD)</v>
      </c>
      <c r="O70" s="53">
        <f t="shared" si="1"/>
        <v>220.38300000000001</v>
      </c>
    </row>
    <row r="71" spans="1:15">
      <c r="A71" s="9"/>
      <c r="B71" s="1">
        <v>100</v>
      </c>
      <c r="C71" s="1" t="s">
        <v>883</v>
      </c>
      <c r="I71" s="1" t="s">
        <v>8</v>
      </c>
      <c r="K71" s="20" t="s">
        <v>1021</v>
      </c>
      <c r="L71" s="12" t="s">
        <v>8</v>
      </c>
      <c r="M71" s="295">
        <v>60</v>
      </c>
      <c r="N71" s="52" t="str">
        <f t="shared" si="0"/>
        <v>ラオス・キップ (LAK)</v>
      </c>
      <c r="O71" s="53">
        <f t="shared" si="1"/>
        <v>7.2054300000000005E-3</v>
      </c>
    </row>
    <row r="72" spans="1:15">
      <c r="A72" s="9"/>
      <c r="B72" s="1">
        <v>1</v>
      </c>
      <c r="C72" s="1" t="s">
        <v>885</v>
      </c>
      <c r="I72" s="1" t="s">
        <v>8</v>
      </c>
      <c r="K72" s="20" t="s">
        <v>1022</v>
      </c>
      <c r="L72" s="12" t="s">
        <v>8</v>
      </c>
      <c r="M72" s="295">
        <v>61</v>
      </c>
      <c r="N72" s="52" t="str">
        <f t="shared" si="0"/>
        <v>ルーマニア・レイ (RON)</v>
      </c>
      <c r="O72" s="53">
        <f t="shared" si="1"/>
        <v>35.4801</v>
      </c>
    </row>
    <row r="73" spans="1:15">
      <c r="A73" s="9"/>
      <c r="B73" s="1">
        <v>100</v>
      </c>
      <c r="C73" s="1" t="s">
        <v>886</v>
      </c>
      <c r="F73" s="13"/>
      <c r="I73" s="1" t="s">
        <v>8</v>
      </c>
      <c r="K73" s="20" t="s">
        <v>1023</v>
      </c>
      <c r="L73" s="12" t="s">
        <v>8</v>
      </c>
      <c r="M73" s="295">
        <v>62</v>
      </c>
      <c r="N73" s="52" t="str">
        <f t="shared" si="0"/>
        <v>ルワンダ・フラン (RWF)</v>
      </c>
      <c r="O73" s="53">
        <f t="shared" si="1"/>
        <v>0.10784700000000003</v>
      </c>
    </row>
    <row r="74" spans="1:15">
      <c r="A74" s="9"/>
      <c r="B74" s="1">
        <v>1</v>
      </c>
      <c r="C74" s="1" t="s">
        <v>888</v>
      </c>
      <c r="I74" s="1" t="s">
        <v>8</v>
      </c>
      <c r="K74" s="20" t="s">
        <v>1024</v>
      </c>
      <c r="L74" s="12" t="s">
        <v>8</v>
      </c>
      <c r="M74" s="295">
        <v>63</v>
      </c>
      <c r="N74" s="52" t="str">
        <f t="shared" si="0"/>
        <v>ロシア・ルーブル (RUB)</v>
      </c>
      <c r="O74" s="53">
        <f t="shared" si="1"/>
        <v>1.9537500000000003</v>
      </c>
    </row>
    <row r="75" spans="1:15">
      <c r="A75" s="9"/>
      <c r="F75" s="2"/>
      <c r="G75" s="22"/>
      <c r="H75" s="13"/>
      <c r="I75" s="2"/>
      <c r="K75" s="23"/>
      <c r="L75" s="16"/>
      <c r="M75" s="2"/>
    </row>
    <row r="76" spans="1:15">
      <c r="A76" s="9"/>
      <c r="B76" s="1" t="s">
        <v>890</v>
      </c>
      <c r="F76" s="24" t="s">
        <v>12</v>
      </c>
      <c r="G76" s="14"/>
      <c r="L76" s="12"/>
    </row>
    <row r="77" spans="1:15">
      <c r="A77" s="25"/>
      <c r="B77" s="26"/>
      <c r="C77" s="27"/>
      <c r="D77" s="28"/>
      <c r="E77" s="28"/>
      <c r="F77" s="29" t="s">
        <v>1025</v>
      </c>
      <c r="G77" s="30"/>
      <c r="H77" s="28"/>
      <c r="I77" s="28"/>
      <c r="J77" s="28"/>
      <c r="K77" s="28"/>
      <c r="L77" s="31"/>
    </row>
    <row r="78" spans="1:15" s="3" customFormat="1" ht="13.2">
      <c r="C78" s="3" t="s">
        <v>13</v>
      </c>
    </row>
  </sheetData>
  <protectedRanges>
    <protectedRange sqref="B13" name="範囲1_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8"/>
  <sheetViews>
    <sheetView topLeftCell="A16" workbookViewId="0">
      <selection activeCell="D47" sqref="D47"/>
    </sheetView>
  </sheetViews>
  <sheetFormatPr defaultColWidth="8.88671875" defaultRowHeight="13.2"/>
  <cols>
    <col min="1" max="1" width="19.33203125" style="39" bestFit="1" customWidth="1"/>
    <col min="2" max="2" width="14.33203125" style="39" customWidth="1"/>
    <col min="3" max="3" width="12.77734375" style="39" customWidth="1"/>
    <col min="4" max="4" width="12.33203125" style="39" bestFit="1" customWidth="1"/>
    <col min="5" max="7" width="8.88671875" style="39"/>
    <col min="8" max="8" width="9.44140625" style="39" bestFit="1" customWidth="1"/>
    <col min="9" max="9" width="148.6640625" style="39" customWidth="1"/>
    <col min="10" max="16384" width="8.88671875" style="39"/>
  </cols>
  <sheetData>
    <row r="1" spans="1:9">
      <c r="A1" s="424"/>
      <c r="B1" s="425" t="str">
        <f>IF(計算シート!C69=0,"本人","-")</f>
        <v>本人</v>
      </c>
      <c r="C1" s="425" t="str">
        <f>IF(計算シート!C69=0,"生計維持者１","本人")</f>
        <v>生計維持者１</v>
      </c>
      <c r="D1" s="425" t="str">
        <f>海外居住者のための収入等申告書!L33</f>
        <v/>
      </c>
      <c r="F1" s="39" t="s">
        <v>39</v>
      </c>
      <c r="I1" s="425" t="s">
        <v>1059</v>
      </c>
    </row>
    <row r="2" spans="1:9">
      <c r="A2" s="425" t="s">
        <v>353</v>
      </c>
      <c r="B2" s="36">
        <f>IFERROR(IF(C69=0,DATEDIF(海外居住者のための収入等申告書!F23,計算シート!$C$47,"y"),0),125)</f>
        <v>125</v>
      </c>
      <c r="C2" s="36">
        <f>DATEDIF(海外居住者のための収入等申告書!F35,計算シート!$C$47,"y")</f>
        <v>126</v>
      </c>
      <c r="D2" s="36">
        <f>DATEDIF(海外居住者のための収入等申告書!L35,計算シート!$C$47,"y")</f>
        <v>126</v>
      </c>
      <c r="I2" s="36"/>
    </row>
    <row r="3" spans="1:9">
      <c r="A3" s="425" t="s">
        <v>166</v>
      </c>
      <c r="B3" s="305">
        <f>海外居住者のための収入等申告書!F29*VLOOKUP(海外居住者のための収入等申告書!F28,IF($C$50=1,前年レート!$N$12:$O$74,IF($C$50=2,当年レート!$N$12:$O$74,"")),2,0)</f>
        <v>0</v>
      </c>
      <c r="C3" s="305">
        <f>海外居住者のための収入等申告書!F44*VLOOKUP(海外居住者のための収入等申告書!F43,IF($C$50=1,前年レート!$N$12:$O$74,IF($C$50=2,当年レート!$N$12:$O$74,"")),2,0)</f>
        <v>0</v>
      </c>
      <c r="D3" s="305">
        <f>IF(VLOOKUP(海外居住者のための収入等申告書!$F$36,計算シート!$F$3:$G$10,2,0)=1,海外居住者のための収入等申告書!L44*VLOOKUP(海外居住者のための収入等申告書!L43,IF($C$50=1,前年レート!$N$12:$O$74,IF($C$50=2,当年レート!$N$12:$O$74,"")),2,0),0)</f>
        <v>0</v>
      </c>
      <c r="F3" s="36" t="s">
        <v>41</v>
      </c>
      <c r="G3" s="36">
        <v>1</v>
      </c>
      <c r="I3" s="36"/>
    </row>
    <row r="4" spans="1:9">
      <c r="A4" s="425" t="s">
        <v>16</v>
      </c>
      <c r="B4" s="305">
        <f>MAX(IF(AND($C$51=1,B3&lt;T11所得区分!$B$32),B3-T12給与所得!$B$62,IF(B3&lt;T11所得区分!$B$16,T12給与所得!$B$2,IF(B3&lt;T11所得区分!$B$17,B3-T12給与所得!$B$13,IF(B3&lt;T11所得区分!$B$18,T12給与所得!$B$4,IF(B3&lt;T11所得区分!$B$19,T12給与所得!$B$5,IF(B3&lt;T11所得区分!$B$20,T12給与所得!$B$6,IF(B3&lt;T11所得区分!$B$21,T12給与所得!$B$7,IF(B3&lt;T11所得区分!$B$22,ROUNDDOWN(B3/4000,0)*4000*T12給与所得!$B$19-T12給与所得!$B$14,IF(B3&lt;T11所得区分!$B$23,ROUNDDOWN(B3/4000,0)*4000*T12給与所得!$B$20-T12給与所得!$B$15,IF(B3&lt;T11所得区分!$B$24,ROUNDDOWN(B3/4000,0)*4000*T12給与所得!$B$21-T12給与所得!$B$16,IF(B3&lt;T11所得区分!$B$25,B3*T12給与所得!$B$22-T12給与所得!$B$17,B3-T12給与所得!$B$18))))))))))),0)</f>
        <v>0</v>
      </c>
      <c r="C4" s="305">
        <f>MAX(IF(AND($C$51=1,C3&lt;T11所得区分!$B$32),C3-T12給与所得!$B$62,IF(C3&lt;T11所得区分!$B$16,T12給与所得!$B$2,IF(C3&lt;T11所得区分!$B$17,C3-T12給与所得!$B$13,IF(C3&lt;T11所得区分!$B$18,T12給与所得!$B$4,IF(C3&lt;T11所得区分!$B$19,T12給与所得!$B$5,IF(C3&lt;T11所得区分!$B$20,T12給与所得!$B$6,IF(C3&lt;T11所得区分!$B$21,T12給与所得!$B$7,IF(C3&lt;T11所得区分!$B$22,ROUNDDOWN(C3/4000,0)*4000*T12給与所得!$B$19-T12給与所得!$B$14,IF(C3&lt;T11所得区分!$B$23,ROUNDDOWN(C3/4000,0)*4000*T12給与所得!$B$20-T12給与所得!$B$15,IF(C3&lt;T11所得区分!$B$24,ROUNDDOWN(C3/4000,0)*4000*T12給与所得!$B$21-T12給与所得!$B$16,IF(C3&lt;T11所得区分!$B$25,C3*T12給与所得!$B$22-T12給与所得!$B$17,C3-T12給与所得!$B$18)))))))))))-C54,0)</f>
        <v>0</v>
      </c>
      <c r="D4" s="305">
        <f>MAX(IF(AND($C$51=1,D3&lt;T11所得区分!$B$32),D3-T12給与所得!$B$62,IF(D3&lt;T11所得区分!$B$16,T12給与所得!$B$2,IF(D3&lt;T11所得区分!$B$17,D3-T12給与所得!$B$13,IF(D3&lt;T11所得区分!$B$18,T12給与所得!$B$4,IF(D3&lt;T11所得区分!$B$19,T12給与所得!$B$5,IF(D3&lt;T11所得区分!$B$20,T12給与所得!$B$6,IF(D3&lt;T11所得区分!$B$21,T12給与所得!$B$7,IF(D3&lt;T11所得区分!$B$22,ROUNDDOWN(D3/4000,0)*4000*T12給与所得!$B$19-T12給与所得!$B$14,IF(D3&lt;T11所得区分!$B$23,ROUNDDOWN(D3/4000,0)*4000*T12給与所得!$B$20-T12給与所得!$B$15,IF(D3&lt;T11所得区分!$B$24,ROUNDDOWN(D3/4000,0)*4000*T12給与所得!$B$21-T12給与所得!$B$16,IF(D3&lt;T11所得区分!$B$25,D3*T12給与所得!$B$22-T12給与所得!$B$17,D3-T12給与所得!$B$18)))))))))))-D54,0)</f>
        <v>0</v>
      </c>
      <c r="F4" s="36" t="s">
        <v>43</v>
      </c>
      <c r="G4" s="36">
        <v>2</v>
      </c>
      <c r="I4" s="305" t="s">
        <v>1057</v>
      </c>
    </row>
    <row r="5" spans="1:9">
      <c r="A5" s="425" t="s">
        <v>215</v>
      </c>
      <c r="B5" s="305">
        <v>0</v>
      </c>
      <c r="C5" s="305">
        <f>海外居住者のための収入等申告書!F46*VLOOKUP(海外居住者のための収入等申告書!F45,IF($C$50=1,前年レート!$N$12:$O$74,IF($C$50=2,当年レート!$N$12:$O$74,"")),2,0)</f>
        <v>0</v>
      </c>
      <c r="D5" s="305">
        <f>IF(VLOOKUP(海外居住者のための収入等申告書!$F$36,計算シート!$F$3:$G$10,2,0)=1,海外居住者のための収入等申告書!L46*VLOOKUP(海外居住者のための収入等申告書!L45,IF($C$50=1,前年レート!$N$12:$O$74,IF($C$50=2,当年レート!$N$12:$O$74,"")),2,0),0)</f>
        <v>0</v>
      </c>
      <c r="F5" s="36" t="s">
        <v>44</v>
      </c>
      <c r="G5" s="36">
        <v>3</v>
      </c>
      <c r="I5" s="36"/>
    </row>
    <row r="6" spans="1:9">
      <c r="A6" s="425" t="s">
        <v>214</v>
      </c>
      <c r="B6" s="305">
        <v>0</v>
      </c>
      <c r="C6" s="305">
        <f>MAX(IF(C2&lt;T12給与所得!B23,IF(C5&lt;T12給与所得!B28,C5-T12給与所得!B51,IF(C5&lt;T12給与所得!B29,C5*T12給与所得!B59-T12給与所得!B52,IF(C5&lt;T12給与所得!B30,C5*T12給与所得!B60-T12給与所得!B53,IF(C5&lt;T12給与所得!B31,C5*T12給与所得!B61-T12給与所得!B54,C5-T12給与所得!B55)))),IF(C5&lt;T12給与所得!B24,C5-T12給与所得!B46,IF(C5&lt;T12給与所得!B25,C5*T12給与所得!B56-T12給与所得!B47,IF(C5&lt;T12給与所得!B26,C5*T12給与所得!B57-T12給与所得!B48,IF(C5&lt;T12給与所得!B27,C5*T12給与所得!B58-T12給与所得!B49,C5-T12給与所得!B50))))),0)</f>
        <v>0</v>
      </c>
      <c r="D6" s="305">
        <f>MAX(IF(D2&lt;T12給与所得!B23,IF(D5&lt;T12給与所得!B28,D5-T12給与所得!B51,IF(D5&lt;T12給与所得!B29,D5*T12給与所得!B59-T12給与所得!B52,IF(D5&lt;T12給与所得!B30,D5*T12給与所得!B60-T12給与所得!B53,IF(D5&lt;T12給与所得!B31,D5*T12給与所得!B61-T12給与所得!B54,D5-T12給与所得!B55)))),IF(D5&lt;T12給与所得!B24,D5-T12給与所得!B46,IF(D5&lt;T12給与所得!B25,D5*T12給与所得!B56-T12給与所得!B47,IF(D5&lt;T12給与所得!B26,D5*T12給与所得!B57-T12給与所得!B48,IF(D5&lt;T12給与所得!B27,D5*T12給与所得!B58-T12給与所得!B49,D5-T12給与所得!B50))))),0)</f>
        <v>0</v>
      </c>
      <c r="F6" s="36" t="s">
        <v>45</v>
      </c>
      <c r="G6" s="36">
        <v>4</v>
      </c>
      <c r="I6" s="305" t="s">
        <v>1058</v>
      </c>
    </row>
    <row r="7" spans="1:9">
      <c r="A7" s="425" t="s">
        <v>216</v>
      </c>
      <c r="B7" s="305">
        <f>海外居住者のための収入等申告書!F31*VLOOKUP(海外居住者のための収入等申告書!F30,IF($C$50=1,前年レート!$N$12:$O$74,IF($C$50=2,当年レート!$N$12:$O$74,"")),2,0)</f>
        <v>0</v>
      </c>
      <c r="C7" s="305">
        <f>海外居住者のための収入等申告書!F48*VLOOKUP(海外居住者のための収入等申告書!F47,IF($C$50=1,前年レート!$N$12:$O$74,IF($C$50=2,当年レート!$N$12:$O$74,"")),2,0)</f>
        <v>0</v>
      </c>
      <c r="D7" s="305">
        <f>IF(VLOOKUP(海外居住者のための収入等申告書!$F$36,計算シート!$F$3:$G$10,2,0)=1,海外居住者のための収入等申告書!L48*VLOOKUP(海外居住者のための収入等申告書!L47,IF($C$50=1,前年レート!$N$12:$O$74,IF($C$50=2,当年レート!$N$12:$O$74,"")),2,0),0)</f>
        <v>0</v>
      </c>
      <c r="F7" s="36" t="s">
        <v>211</v>
      </c>
      <c r="G7" s="36">
        <v>5</v>
      </c>
      <c r="I7" s="36"/>
    </row>
    <row r="8" spans="1:9">
      <c r="A8" s="425" t="s">
        <v>17</v>
      </c>
      <c r="B8" s="305">
        <f>IF(VLOOKUP(海外居住者のための収入等申告書!F27,計算シート!F3:G4,2,0)=1,SUM(B4,B6,B7),0)</f>
        <v>0</v>
      </c>
      <c r="C8" s="305">
        <f>MAX(SUM(C4,C6,C7)-C55,0)</f>
        <v>0</v>
      </c>
      <c r="D8" s="305">
        <f>MAX(SUM(D4,D6,D7)-D55,0)</f>
        <v>0</v>
      </c>
      <c r="F8" s="36" t="str">
        <f>IF(C51=0,"寡婦（夫）でない","ひとり親でない")</f>
        <v>ひとり親でない</v>
      </c>
      <c r="G8" s="36">
        <v>6</v>
      </c>
      <c r="I8" s="36" t="s">
        <v>1075</v>
      </c>
    </row>
    <row r="9" spans="1:9">
      <c r="A9" s="425" t="s">
        <v>255</v>
      </c>
      <c r="B9" s="36">
        <v>0</v>
      </c>
      <c r="C9" s="36">
        <f>IF(VLOOKUP(海外居住者のための収入等申告書!$F$36,$F$3:$G$13,2,0)=1,1,0)</f>
        <v>1</v>
      </c>
      <c r="D9" s="36">
        <f>C9</f>
        <v>1</v>
      </c>
      <c r="F9" s="36" t="str">
        <f>IF(C51=0,"寡婦である","ひとり親である")</f>
        <v>ひとり親である</v>
      </c>
      <c r="G9" s="36">
        <v>7</v>
      </c>
      <c r="I9" s="36"/>
    </row>
    <row r="10" spans="1:9">
      <c r="A10" s="425" t="s">
        <v>165</v>
      </c>
      <c r="B10" s="306" t="s">
        <v>229</v>
      </c>
      <c r="C10" s="306" t="str">
        <f>IF(C9=1,IF(C8&gt;=D8,IF(C8&lt;=T11所得区分!$B$2,"A",IF(C8&lt;=T11所得区分!$B$3,"B",IF(C8&lt;=T11所得区分!$B$4,"C","D"))),IF(AND($C$51=1,C8&lt;=T11所得区分!$B$31),"e",IF(C8&lt;=T11所得区分!$B$5,"e",IF(C8&lt;T11所得区分!$B$6,"f",IF(C8&lt;T11所得区分!$B$7,"g",IF(C8&lt;=T11所得区分!$B$8,"h",IF(C8&lt;=T11所得区分!$B$9,"i",IF(C8&lt;=T11所得区分!$B$10,"j",IF(C8&lt;=T11所得区分!$B$11,"k",IF(C8&lt;=T11所得区分!$B$12,"l",IF(C8&lt;=T11所得区分!$B$13,"m",IF(C8&lt;=T11所得区分!$B$14,"n",IF(C8&lt;=T11所得区分!$B$15,"o","p"))))))))))))),"D")</f>
        <v>A</v>
      </c>
      <c r="D10" s="306" t="str">
        <f>IF(VLOOKUP(海外居住者のための収入等申告書!F36,計算シート!F3:G10,2,0)=1,IF(D8&gt;C8,IF(D8&lt;=T11所得区分!$B$2,"A",IF(D8&lt;=T11所得区分!$B$3,"B",IF(D8&lt;=T11所得区分!$B$4,"C","D"))), IF(AND($C$51=1,D8&lt;=T11所得区分!$B$31),"e",IF(D8&lt;=T11所得区分!$B$5,"e",IF(D8&lt;T11所得区分!$B$6,"f",IF(D8&lt;T11所得区分!$B$7,"g",IF(D8&lt;=T11所得区分!$B$8,"h",IF(D8&lt;=T11所得区分!$B$9,"i",IF(D8&lt;=T11所得区分!$B$10,"j",IF(D8&lt;=T11所得区分!$B$11,"k",IF(D8&lt;=T11所得区分!$B$12,"l",IF(D8&lt;=T11所得区分!$B$13,"m",IF(D8&lt;=T11所得区分!$B$14,"n",IF(D8&lt;=T11所得区分!$B$15,"o","p"))))))))))))),"p")</f>
        <v>e</v>
      </c>
      <c r="F10" s="36" t="str">
        <f>IF(C51=0,"寡夫である","")</f>
        <v/>
      </c>
      <c r="G10" s="36">
        <v>8</v>
      </c>
      <c r="I10" s="305" t="s">
        <v>1070</v>
      </c>
    </row>
    <row r="11" spans="1:9">
      <c r="A11" s="425" t="s">
        <v>210</v>
      </c>
      <c r="B11" s="305">
        <v>0</v>
      </c>
      <c r="C11" s="305">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05">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F11" s="426" t="s">
        <v>223</v>
      </c>
      <c r="G11" s="426">
        <v>9</v>
      </c>
      <c r="I11" s="36"/>
    </row>
    <row r="12" spans="1:9">
      <c r="A12" s="425" t="s">
        <v>18</v>
      </c>
      <c r="B12" s="305">
        <v>0</v>
      </c>
      <c r="C12" s="305">
        <f>SUM(海外居住者のための収入等申告書!F52,海外居住者のための収入等申告書!F55,C37)*T13人的控除!$B$39</f>
        <v>330000</v>
      </c>
      <c r="D12" s="305">
        <f>SUM(海外居住者のための収入等申告書!L52,海外居住者のための収入等申告書!L55,D37)*T13人的控除!$B$39</f>
        <v>0</v>
      </c>
      <c r="F12" s="36" t="s">
        <v>224</v>
      </c>
      <c r="G12" s="36">
        <v>10</v>
      </c>
      <c r="I12" s="36"/>
    </row>
    <row r="13" spans="1:9">
      <c r="A13" s="425" t="s">
        <v>19</v>
      </c>
      <c r="B13" s="305">
        <v>0</v>
      </c>
      <c r="C13" s="305">
        <f>SUM(C38,海外居住者のための収入等申告書!F53,'計算シート2(特定親族)'!$L$8)*T13人的控除!$B$40</f>
        <v>0</v>
      </c>
      <c r="D13" s="305">
        <f>SUM(D38,海外居住者のための収入等申告書!L53,'計算シート2(特定親族)'!$L$20)*T13人的控除!$B$40</f>
        <v>0</v>
      </c>
      <c r="F13" s="36" t="s">
        <v>235</v>
      </c>
      <c r="G13" s="36">
        <v>11</v>
      </c>
      <c r="I13" s="36" t="s">
        <v>1060</v>
      </c>
    </row>
    <row r="14" spans="1:9">
      <c r="A14" s="425" t="s">
        <v>20</v>
      </c>
      <c r="B14" s="305">
        <v>0</v>
      </c>
      <c r="C14" s="305">
        <f>海外居住者のための収入等申告書!F57*T13人的控除!$B$41</f>
        <v>0</v>
      </c>
      <c r="D14" s="305">
        <f>海外居住者のための収入等申告書!L57*T13人的控除!$B$41</f>
        <v>0</v>
      </c>
      <c r="I14" s="36"/>
    </row>
    <row r="15" spans="1:9">
      <c r="A15" s="425" t="s">
        <v>21</v>
      </c>
      <c r="B15" s="305">
        <v>0</v>
      </c>
      <c r="C15" s="305">
        <f>海外居住者のための収入等申告書!F56*T13人的控除!$B$42</f>
        <v>0</v>
      </c>
      <c r="D15" s="305">
        <f>海外居住者のための収入等申告書!L56*T13人的控除!$B$42</f>
        <v>0</v>
      </c>
      <c r="F15" s="36" t="s">
        <v>344</v>
      </c>
      <c r="G15" s="36">
        <v>1</v>
      </c>
      <c r="I15" s="36"/>
    </row>
    <row r="16" spans="1:9">
      <c r="A16" s="425" t="s">
        <v>1052</v>
      </c>
      <c r="B16" s="305">
        <v>0</v>
      </c>
      <c r="C16" s="305">
        <f>'計算シート2(特定親族)'!L10</f>
        <v>0</v>
      </c>
      <c r="D16" s="305">
        <f>'計算シート2(特定親族)'!L22</f>
        <v>0</v>
      </c>
      <c r="F16" s="36" t="s">
        <v>342</v>
      </c>
      <c r="G16" s="36">
        <v>2</v>
      </c>
      <c r="I16" s="36" t="s">
        <v>1061</v>
      </c>
    </row>
    <row r="17" spans="1:9">
      <c r="A17" s="425" t="s">
        <v>22</v>
      </c>
      <c r="B17" s="305">
        <f>IF(VLOOKUP(海外居住者のための収入等申告書!F25,計算シート!$F$3:$G$10,2,0)=4,1,0)*T13人的控除!$B$44</f>
        <v>0</v>
      </c>
      <c r="C17" s="305" t="e">
        <f>SUM(海外居住者のための収入等申告書!F58,C39,IF(VLOOKUP(海外居住者のための収入等申告書!$F$39,計算シート!$F$3:$G$10,2,0)=4,1,0),IF(AND(D10="e",VLOOKUP(海外居住者のための収入等申告書!$L$39,計算シート!$F$3:$G$10,2,0)=4),1,0))*T13人的控除!$B$44</f>
        <v>#N/A</v>
      </c>
      <c r="D17" s="305" t="e">
        <f>SUM(海外居住者のための収入等申告書!L58,D39,IF(VLOOKUP(海外居住者のための収入等申告書!$L$39,計算シート!$F$3:$G$10,2,0)=4,1,0),IF(AND(C10="e",VLOOKUP(海外居住者のための収入等申告書!$F$39,計算シート!$F$3:$G$10,2,0)=4),1,0))*T13人的控除!$B$44</f>
        <v>#N/A</v>
      </c>
      <c r="F17" s="36" t="s">
        <v>343</v>
      </c>
      <c r="G17" s="36">
        <v>3</v>
      </c>
      <c r="I17" s="36"/>
    </row>
    <row r="18" spans="1:9">
      <c r="A18" s="425" t="s">
        <v>23</v>
      </c>
      <c r="B18" s="305">
        <f>IF(VLOOKUP(海外居住者のための収入等申告書!F25,計算シート!$F$3:$G$10,2,0)=5,1,0)*T13人的控除!$B$45</f>
        <v>0</v>
      </c>
      <c r="C18" s="305" t="e">
        <f>SUM(海外居住者のための収入等申告書!F59,C40,IF(VLOOKUP(海外居住者のための収入等申告書!$F$39,計算シート!$F$3:$G$10,2,0)=5,1,0),IF(AND($D$10="e",VLOOKUP(海外居住者のための収入等申告書!$F$38,計算シート!$F$3:$G$10,2,0)=2,VLOOKUP(海外居住者のための収入等申告書!$L$39,計算シート!$F$3:$G$10,2,0)=5),1,0))*T13人的控除!B45</f>
        <v>#N/A</v>
      </c>
      <c r="D18" s="305" t="e">
        <f>SUM(海外居住者のための収入等申告書!L59,D40,IF(VLOOKUP(海外居住者のための収入等申告書!L39,計算シート!$F$3:$G$10,2,0)=5,1,0),IF(AND(C10="e",VLOOKUP(海外居住者のための収入等申告書!$F$38,計算シート!$F$3:$G$10,2,0)=2,VLOOKUP(海外居住者のための収入等申告書!$F$39,計算シート!$F$3:$G$10,2,0)=5),1,0))*T13人的控除!B45</f>
        <v>#N/A</v>
      </c>
      <c r="F18" s="36" t="s">
        <v>348</v>
      </c>
      <c r="G18" s="36">
        <v>4</v>
      </c>
      <c r="I18" s="36"/>
    </row>
    <row r="19" spans="1:9">
      <c r="A19" s="425" t="s">
        <v>24</v>
      </c>
      <c r="B19" s="305">
        <v>0</v>
      </c>
      <c r="C19" s="305" t="e">
        <f>SUM(海外居住者のための収入等申告書!F60,C41,IF(AND($D$10="e",VLOOKUP(海外居住者のための収入等申告書!$F$38,計算シート!$F$3:$G$10,2,0)=1,VLOOKUP(海外居住者のための収入等申告書!$L$39,計算シート!$F$3:$G$10,2,0)=5),1,0))*T13人的控除!B46</f>
        <v>#N/A</v>
      </c>
      <c r="D19" s="305">
        <f>SUM(海外居住者のための収入等申告書!L60,D41,IF(AND($C$10="e",VLOOKUP(海外居住者のための収入等申告書!$F$38,計算シート!$F$3:$G$10,2,0)=1,VLOOKUP(海外居住者のための収入等申告書!$F$39,計算シート!$F$3:$G$10,2,0)=5),1,0))*T13人的控除!B46</f>
        <v>0</v>
      </c>
      <c r="F19" s="36" t="s">
        <v>754</v>
      </c>
      <c r="G19" s="36">
        <v>5</v>
      </c>
      <c r="I19" s="36"/>
    </row>
    <row r="20" spans="1:9">
      <c r="A20" s="309" t="s">
        <v>324</v>
      </c>
      <c r="B20" s="305">
        <f>IF(AND(B8&lt;=T13人的控除!B57+IF($C$51=1,100000,0),SUM(計算シート!B6:B7)&lt;=100000),T13人的控除!B50,0)</f>
        <v>260000</v>
      </c>
      <c r="C20" s="305">
        <f>IFERROR(IF(海外居住者のための収入等申告書!F36="はい",0,IF(AND(C22=0,C21=0,VLOOKUP(海外居住者のための収入等申告書!F40,計算シート!$F$3:$G$10,2,0)=7,OR(海外居住者のための収入等申告書!I15="祖母",海外居住者のための収入等申告書!I15="母"),SUM(C36:C38,海外居住者のための収入等申告書!F51:F55)&gt;0),T13人的控除!$B$47,0)),0)</f>
        <v>0</v>
      </c>
      <c r="D20" s="305">
        <v>0</v>
      </c>
      <c r="F20" s="36" t="s">
        <v>755</v>
      </c>
      <c r="G20" s="36">
        <v>6</v>
      </c>
      <c r="I20" s="36" t="s">
        <v>1071</v>
      </c>
    </row>
    <row r="21" spans="1:9">
      <c r="A21" s="425" t="s">
        <v>26</v>
      </c>
      <c r="B21" s="305">
        <v>0</v>
      </c>
      <c r="C21" s="305">
        <v>0</v>
      </c>
      <c r="D21" s="305">
        <v>0</v>
      </c>
      <c r="F21" s="36" t="s">
        <v>756</v>
      </c>
      <c r="G21" s="36">
        <v>7</v>
      </c>
      <c r="I21" s="36"/>
    </row>
    <row r="22" spans="1:9">
      <c r="A22" s="425" t="s">
        <v>732</v>
      </c>
      <c r="B22" s="305">
        <v>0</v>
      </c>
      <c r="C22" s="305">
        <f>IFERROR(IF(海外居住者のための収入等申告書!F36="はい",0,IF(AND(海外居住者のための収入等申告書!F40="ひとり親である",SUM(C36:C38,海外居住者のための収入等申告書!F51:F53,MAX(0,海外居住者のための収入等申告書!F55-海外居住者のための収入等申告書!H55))&gt;0,C8&lt;=T13人的控除!$B$54),T13人的控除!$B$48,0)),0)</f>
        <v>0</v>
      </c>
      <c r="D22" s="305">
        <v>0</v>
      </c>
      <c r="F22" s="36"/>
      <c r="G22" s="36"/>
      <c r="I22" s="36"/>
    </row>
    <row r="23" spans="1:9">
      <c r="A23" s="425" t="s">
        <v>31</v>
      </c>
      <c r="B23" s="305">
        <f>T13人的控除!$B$2</f>
        <v>430000</v>
      </c>
      <c r="C23" s="305">
        <f>T13人的控除!$B$2</f>
        <v>430000</v>
      </c>
      <c r="D23" s="305">
        <f>T13人的控除!B2</f>
        <v>430000</v>
      </c>
      <c r="I23" s="305" t="s">
        <v>1058</v>
      </c>
    </row>
    <row r="24" spans="1:9">
      <c r="A24" s="425" t="s">
        <v>28</v>
      </c>
      <c r="B24" s="305">
        <v>0</v>
      </c>
      <c r="C24" s="305">
        <f>SUM(海外居住者のための収入等申告書!F51:F53,海外居住者のための収入等申告書!F55:F57,C36:C38,IF(D10="e",1,0),'計算シート2(特定親族)'!L8)</f>
        <v>2</v>
      </c>
      <c r="D24" s="305">
        <f>SUM(海外居住者のための収入等申告書!L51:L53,海外居住者のための収入等申告書!L55:L57,D36:D38,IF(C10="e",1,0),'計算シート2(特定親族)'!L20)</f>
        <v>0</v>
      </c>
      <c r="F24" s="36" t="s">
        <v>892</v>
      </c>
      <c r="G24" s="36">
        <v>1</v>
      </c>
      <c r="I24" s="36" t="s">
        <v>1062</v>
      </c>
    </row>
    <row r="25" spans="1:9">
      <c r="A25" s="425" t="s">
        <v>29</v>
      </c>
      <c r="B25" s="305">
        <f>SUM(B3,B5,B7)*0.15</f>
        <v>0</v>
      </c>
      <c r="C25" s="305">
        <f>SUM(C3,C5,C7)*0.15</f>
        <v>0</v>
      </c>
      <c r="D25" s="305">
        <f>SUM(D3,D5,D7)*0.15</f>
        <v>0</v>
      </c>
      <c r="F25" s="36" t="s">
        <v>893</v>
      </c>
      <c r="G25" s="36">
        <v>2</v>
      </c>
      <c r="I25" s="36"/>
    </row>
    <row r="26" spans="1:9">
      <c r="A26" s="425" t="s">
        <v>32</v>
      </c>
      <c r="B26" s="305">
        <f>T13人的控除!$B$51+100000</f>
        <v>450000</v>
      </c>
      <c r="C26" s="305">
        <f>T13人的控除!$B$51*SUM(1,C24)+IF(SUM(C24)&gt;0,T13人的控除!$B$52,0)+100000</f>
        <v>1470000</v>
      </c>
      <c r="D26" s="305">
        <f>T13人的控除!$B$51*SUM(1,D24)+IF(SUM(D24)&gt;0,T13人的控除!$B$52,0)+100000</f>
        <v>450000</v>
      </c>
      <c r="F26" s="36" t="s">
        <v>897</v>
      </c>
      <c r="G26" s="36">
        <v>3</v>
      </c>
      <c r="I26" s="305" t="s">
        <v>1058</v>
      </c>
    </row>
    <row r="27" spans="1:9">
      <c r="A27" s="425" t="s">
        <v>33</v>
      </c>
      <c r="B27" s="305">
        <f>IF(OR(VLOOKUP(海外居住者のための収入等申告書!F25,計算シート!$F$3:$G$10,2,0)&gt;3,IF(OR(C45&lt;2023,AND(C45=2022,C46=0)),B2&lt;20,B2&lt;18)),T13人的控除!$B$53,0)</f>
        <v>0</v>
      </c>
      <c r="C27" s="305">
        <f>IF(OR(SUM(C20:C22)&gt;0,VLOOKUP(海外居住者のための収入等申告書!$F$39,計算シート!$F$3:$G$10,2,0)&gt;3,IF(OR(C45&lt;2023,AND(C45=2022,C46=0)),C2&lt;20,C2&lt;18)),T13人的控除!$B$53,0)</f>
        <v>0</v>
      </c>
      <c r="D27" s="305" t="e">
        <f>IF(OR(SUM(D20:D22)&gt;0,VLOOKUP(海外居住者のための収入等申告書!$L$39,計算シート!$F$3:$G$10,2,0)&gt;3,IF(OR(C45&lt;2023,AND(C45=2022,C46=0)),D2&lt;20,D2&lt;18)),T13人的控除!$B$53,0)</f>
        <v>#N/A</v>
      </c>
      <c r="F27" s="36" t="s">
        <v>898</v>
      </c>
      <c r="G27" s="36">
        <v>4</v>
      </c>
      <c r="I27" s="305" t="s">
        <v>1058</v>
      </c>
    </row>
    <row r="28" spans="1:9">
      <c r="A28" s="425" t="s">
        <v>212</v>
      </c>
      <c r="B28" s="305">
        <f>SUM(B11:B23,B25)</f>
        <v>690000</v>
      </c>
      <c r="C28" s="305" t="e">
        <f>SUM(C11:C23,C25)</f>
        <v>#N/A</v>
      </c>
      <c r="D28" s="305" t="e">
        <f>SUM(D11:D23,D25)</f>
        <v>#N/A</v>
      </c>
      <c r="F28" s="36" t="s">
        <v>894</v>
      </c>
      <c r="G28" s="36">
        <v>5</v>
      </c>
      <c r="I28" s="36"/>
    </row>
    <row r="29" spans="1:9">
      <c r="A29" s="425" t="s">
        <v>30</v>
      </c>
      <c r="B29" s="305">
        <f>IF(B8-B28&lt;0,0,ROUNDDOWN(B8-B28,-3))</f>
        <v>0</v>
      </c>
      <c r="C29" s="305" t="e">
        <f>IF(C8-C28&lt;0,0,ROUNDDOWN(C8-C28,-3))</f>
        <v>#N/A</v>
      </c>
      <c r="D29" s="305" t="e">
        <f>IF(D8-D28&lt;0,0,ROUNDDOWN(D8-D28,-3))</f>
        <v>#N/A</v>
      </c>
      <c r="F29" s="36"/>
      <c r="G29" s="36"/>
      <c r="I29" s="36"/>
    </row>
    <row r="30" spans="1:9">
      <c r="A30" s="425" t="s">
        <v>34</v>
      </c>
      <c r="B30" s="305">
        <f>B29*T16税率等!$B$2/100</f>
        <v>0</v>
      </c>
      <c r="C30" s="305" t="e">
        <f>C29*T16税率等!$B$2/100</f>
        <v>#N/A</v>
      </c>
      <c r="D30" s="305" t="e">
        <f>D29*T16税率等!$B$2/100</f>
        <v>#N/A</v>
      </c>
      <c r="I30" s="36"/>
    </row>
    <row r="31" spans="1:9">
      <c r="A31" s="425" t="s">
        <v>213</v>
      </c>
      <c r="B31" s="305">
        <v>0</v>
      </c>
      <c r="C31" s="305">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1" s="305">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c r="I31" s="36"/>
    </row>
    <row r="32" spans="1:9">
      <c r="A32" s="425" t="s">
        <v>35</v>
      </c>
      <c r="B32" s="305">
        <f>SUM(T15調整控除!$B$2,B12/T13人的控除!$B$39*T15調整控除!$B$39,B13/T13人的控除!$B$40*T15調整控除!$B$40,B14/T13人的控除!$B$41*T15調整控除!$B$41,B15/T13人的控除!$B$42*T15調整控除!$B$42,B17/T13人的控除!$B$44*T15調整控除!$B$44,B18/T13人的控除!$B$45*T15調整控除!$B$45,B19/T13人的控除!$B$46*T15調整控除!$B$46,B20/T13人的控除!$B$47*T15調整控除!$B$47,B21/T13人的控除!$B$48*T15調整控除!$B$48,B22/T13人的控除!$B$49*T15調整控除!$B$49,B31)</f>
        <v>60000</v>
      </c>
      <c r="C32" s="305" t="e">
        <f>SUM(T15調整控除!$B$2,C12/T13人的控除!$B$39*T15調整控除!$B$39,C13/T13人的控除!$B$40*T15調整控除!$B$40,C14/T13人的控除!$B$41*T15調整控除!$B$41,C15/T13人的控除!$B$42*T15調整控除!$B$42,C17/T13人的控除!$B$44*T15調整控除!$B$44,C18/T13人的控除!$B$45*T15調整控除!$B$45,C19/T13人的控除!$B$46*T15調整控除!$B$46,C20/T13人的控除!$B$47*T15調整控除!$B$47,C21/T13人的控除!$B$48*T15調整控除!$B$48,C22/T13人的控除!$B$49*T15調整控除!$B$49,C31)</f>
        <v>#N/A</v>
      </c>
      <c r="D32" s="305" t="e">
        <f>SUM(T15調整控除!$B$2,D12/T13人的控除!$B$39*T15調整控除!$B$39,D13/T13人的控除!$B$40*T15調整控除!$B$40,D14/T13人的控除!$B$41*T15調整控除!$B$41,D15/T13人的控除!$B$42*T15調整控除!$B$42,D17/T13人的控除!$B$44*T15調整控除!$B$44,D18/T13人的控除!$B$45*T15調整控除!$B$45,D19/T13人的控除!$B$46*T15調整控除!$B$46,D20/T13人的控除!$B$47*T15調整控除!$B$47,D21/T13人的控除!$B$48*T15調整控除!$B$48,D22/T13人的控除!$B$49*T15調整控除!$B$49,D31)</f>
        <v>#N/A</v>
      </c>
      <c r="I32" s="36"/>
    </row>
    <row r="33" spans="1:9">
      <c r="A33" s="425" t="s">
        <v>36</v>
      </c>
      <c r="B33" s="305">
        <f>ROUNDDOWN(IF(B29&lt;=T15調整控除!$B$51,IF((MIN(B32,B29))&lt;0,0,MIN(B32,B29))*T15調整控除!$B$52/100,IF((B32-(B29-T15調整控除!$B$51))*T15調整控除!$B$52/100&lt;T15調整控除!$B$53,T15調整控除!$B$53,(B32-(B29-T15調整控除!$B$51))*T15調整控除!$B$52/100)),0)</f>
        <v>0</v>
      </c>
      <c r="C33" s="305" t="e">
        <f>ROUNDDOWN(IF(C29&lt;=T15調整控除!$B$51,IF((MIN(C32,C29))&lt;0,0,MIN(C32,C29))*T15調整控除!$B$52/100,IF((C32-(C29-T15調整控除!$B$51))*T15調整控除!$B$52/100&lt;T15調整控除!$B$53,T15調整控除!$B$53,(C32-(C29-T15調整控除!$B$51))*T15調整控除!$B$52/100)),0)</f>
        <v>#N/A</v>
      </c>
      <c r="D33" s="305" t="e">
        <f>ROUNDDOWN(IF(D29&lt;=T15調整控除!$B$51,IF((MIN(D32,D29))&lt;0,0,MIN(D32,D29))*T15調整控除!$B$52/100,IF((D32-(D29-T15調整控除!$B$51))*T15調整控除!$B$52/100&lt;T15調整控除!$B$53,T15調整控除!$B$53,(D32-(D29-T15調整控除!$B$51))*T15調整控除!$B$52/100)),0)</f>
        <v>#N/A</v>
      </c>
      <c r="I33" s="36"/>
    </row>
    <row r="34" spans="1:9">
      <c r="A34" s="425" t="s">
        <v>37</v>
      </c>
      <c r="B34" s="305">
        <f>IF((((B26-B8)*T16税率等!$B$2/10)+ROUNDDOWN(B30-B33,-2))&lt;0,0,(((B26-B8)*T16税率等!$B$2/10)+ROUNDDOWN(B30-B33,-2)))</f>
        <v>270000</v>
      </c>
      <c r="C34" s="305" t="e">
        <f>IF((((C26-C8)*T16税率等!$B$2/10)+ROUNDDOWN(C30-C33,-2))&lt;0,0,(((C26-C8)*T16税率等!$B$2/10)+ROUNDDOWN(C30-C33,-2)))</f>
        <v>#N/A</v>
      </c>
      <c r="D34" s="305" t="e">
        <f>IF((((D26-D8)*T16税率等!$B$2/10)+ROUNDDOWN(D30-D33,-2))&lt;0,0,(((D26-D8)*T16税率等!$B$2/10)+ROUNDDOWN(D30-D33,-2)))</f>
        <v>#N/A</v>
      </c>
      <c r="I34" s="36"/>
    </row>
    <row r="35" spans="1:9">
      <c r="A35" s="425" t="s">
        <v>460</v>
      </c>
      <c r="B35" s="305">
        <f>IFERROR(IF(OR(B8&lt;=B27,B8&lt;=B26,B30-B33-B34&lt;0),0,ROUNDDOWN(B30-B33-B34,-2)),"エラー")</f>
        <v>0</v>
      </c>
      <c r="C35" s="305" t="str">
        <f>IFERROR(IF(OR(C8&lt;=C27,C8&lt;=C26,C30-C33-C34&lt;0),0,ROUNDDOWN(C30-C33-C34,-2)),"エラー")</f>
        <v>エラー</v>
      </c>
      <c r="D35" s="305">
        <f>IFERROR(IF(OR(D1="生計維持者２",D1="申込者本人の配偶者"),IF(VLOOKUP(海外居住者のための収入等申告書!F37,計算シート!F3:G13,2,0)=2,0,IF(OR(D8&lt;=D27,D8&lt;=D26,D30-D33-D34&lt;0),0,ROUNDDOWN(D30-D33-D34,-2))),0),"エラー")</f>
        <v>0</v>
      </c>
      <c r="I35" s="36" t="s">
        <v>1076</v>
      </c>
    </row>
    <row r="36" spans="1:9">
      <c r="A36" s="311" t="s">
        <v>236</v>
      </c>
      <c r="B36" s="313"/>
      <c r="C36" s="305">
        <f>IF(C69=0,IF(VLOOKUP(海外居住者のための収入等申告書!$F$24,計算シート!$F$11:$G$13,2,0)=9,IF(AND($B$2&lt;16,$B$8&lt;=IF($C$51=1,T11所得区分!$B$31,T11所得区分!$B$5)),1,0),0),0)</f>
        <v>0</v>
      </c>
      <c r="D36" s="305">
        <f>IF(C69=0,IF(VLOOKUP(海外居住者のための収入等申告書!$F$24,計算シート!$F$11:$G$13,2,0)=10,IF(AND($B$2&lt;16,$B$8&lt;=IF($C$51=1,T11所得区分!$B$31,T11所得区分!$B$5)),1,0),0),0)</f>
        <v>0</v>
      </c>
      <c r="I36" s="305" t="s">
        <v>1072</v>
      </c>
    </row>
    <row r="37" spans="1:9">
      <c r="A37" s="311" t="s">
        <v>230</v>
      </c>
      <c r="B37" s="314"/>
      <c r="C37" s="36">
        <f>IF(C69=0,IF(VLOOKUP(海外居住者のための収入等申告書!$F$24,計算シート!$F$11:$G$13,2,0)=9,IF(AND(OR(AND($B$2&gt;=16,$B$2&lt;=18),$B$2&gt;22),$B$8&lt;=IF($C$51=1,T11所得区分!$B$31,T11所得区分!$B$5)),1,0),0),0)</f>
        <v>1</v>
      </c>
      <c r="D37" s="36">
        <f>IF(C69=0,IF(VLOOKUP(海外居住者のための収入等申告書!$F$24,計算シート!$F$11:$G$13,2,0)=10,IF(AND(OR(AND($B$2&gt;=16,$B$2&lt;=18),$B$2&gt;22),$B$8&lt;=IF($C$51=1,T11所得区分!$B$31,T11所得区分!$B$5)),1,0),0),0)</f>
        <v>0</v>
      </c>
      <c r="I37" s="305" t="s">
        <v>1072</v>
      </c>
    </row>
    <row r="38" spans="1:9">
      <c r="A38" s="311" t="s">
        <v>231</v>
      </c>
      <c r="B38" s="314"/>
      <c r="C38" s="36">
        <f>IF(C69=0,IF(VLOOKUP(海外居住者のための収入等申告書!$F$24,計算シート!$F$11:$G$13,2,0)=9,IF(AND(AND($B$2&gt;=19,$B$2&lt;=22),$B$8&lt;=IF($C$51=1,T11所得区分!$B$31,T11所得区分!$B$5)),1,0),0),0)</f>
        <v>0</v>
      </c>
      <c r="D38" s="36">
        <f>IF(C69=0,IF(VLOOKUP(海外居住者のための収入等申告書!$F$24,計算シート!$F$11:$G$13,2,0)=10,IF(AND(AND($B$2&gt;=19,$B$2&lt;=22),$B$8&lt;=IF($C$51=1,T11所得区分!$B$31,T11所得区分!$B$5)),1,0),0),0)</f>
        <v>0</v>
      </c>
      <c r="I38" s="305" t="s">
        <v>1072</v>
      </c>
    </row>
    <row r="39" spans="1:9">
      <c r="A39" s="311" t="s">
        <v>232</v>
      </c>
      <c r="B39" s="314"/>
      <c r="C39" s="36">
        <f>IF(C69=0,IF(AND(SUM(C36:C38)&gt;0,$B$17&gt;0),1,0),0)</f>
        <v>0</v>
      </c>
      <c r="D39" s="36">
        <f>IF(C69=0,IF(AND(SUM(D36:D38)&gt;0,$B$17&gt;0),1,0),0)</f>
        <v>0</v>
      </c>
      <c r="I39" s="36"/>
    </row>
    <row r="40" spans="1:9">
      <c r="A40" s="311" t="s">
        <v>233</v>
      </c>
      <c r="B40" s="314"/>
      <c r="C40" s="36">
        <f>IF(C69=0,IF(AND(SUM(C36:C38)&gt;0,$B$18&gt;0,C41=0),1,0),0)</f>
        <v>0</v>
      </c>
      <c r="D40" s="36">
        <f>IF(C69=0,IF(AND(SUM(D36:D38)&gt;0,$B$18&gt;0,D41=0),1,0),0)</f>
        <v>0</v>
      </c>
      <c r="I40" s="36"/>
    </row>
    <row r="41" spans="1:9">
      <c r="A41" s="311" t="s">
        <v>234</v>
      </c>
      <c r="B41" s="314"/>
      <c r="C41" s="36">
        <f>IF(C69=0,IF(AND(SUM(C36:C38)&gt;0,$B$18&gt;0,VLOOKUP(海外居住者のための収入等申告書!$F$26,計算シート!$F$3:$G$13,2,0)=1),1,0),0)</f>
        <v>0</v>
      </c>
      <c r="D41" s="36">
        <f>IF(C69=0,IF(AND(SUM(D36:D38)&gt;0,$B$18&gt;0,VLOOKUP(海外居住者のための収入等申告書!$F$26,計算シート!$F$3:$G$13,2,0)=1),1,0),0)</f>
        <v>0</v>
      </c>
      <c r="I41" s="36"/>
    </row>
    <row r="42" spans="1:9">
      <c r="A42" s="311" t="s">
        <v>258</v>
      </c>
      <c r="B42" s="314"/>
      <c r="C42" s="305">
        <f>SUM(C3,C5)</f>
        <v>0</v>
      </c>
      <c r="D42" s="305">
        <f>SUM(D3,D5)</f>
        <v>0</v>
      </c>
      <c r="I42" s="36"/>
    </row>
    <row r="43" spans="1:9">
      <c r="A43" s="311" t="s">
        <v>259</v>
      </c>
      <c r="B43" s="314"/>
      <c r="C43" s="305">
        <f>C7</f>
        <v>0</v>
      </c>
      <c r="D43" s="305">
        <f>D7</f>
        <v>0</v>
      </c>
      <c r="I43" s="36"/>
    </row>
    <row r="44" spans="1:9">
      <c r="A44" s="311" t="s">
        <v>341</v>
      </c>
      <c r="B44" s="314"/>
      <c r="C44" s="36">
        <f>IFERROR(VLOOKUP(海外居住者のための収入等申告書!L10,計算シート!F15:G22,2,0),0)</f>
        <v>1</v>
      </c>
      <c r="I44" s="36"/>
    </row>
    <row r="45" spans="1:9">
      <c r="A45" s="311" t="s">
        <v>345</v>
      </c>
      <c r="B45" s="314"/>
      <c r="C45" s="36">
        <f>IF(海外居住者のための収入等申告書!D10=0,"未入力",海外居住者のための収入等申告書!D10)</f>
        <v>2026</v>
      </c>
      <c r="I45" s="36"/>
    </row>
    <row r="46" spans="1:9">
      <c r="A46" s="311" t="s">
        <v>350</v>
      </c>
      <c r="B46" s="314"/>
      <c r="C46" s="36">
        <f>IF(OR(C44=2,C44=6),0,1)</f>
        <v>1</v>
      </c>
      <c r="I46" s="36"/>
    </row>
    <row r="47" spans="1:9">
      <c r="A47" s="311" t="s">
        <v>347</v>
      </c>
      <c r="B47" s="314"/>
      <c r="C47" s="307">
        <f>IF(C46=0,DATE(C45-1,1,1),DATE(C45,1,1))</f>
        <v>46023</v>
      </c>
      <c r="I47" s="36"/>
    </row>
    <row r="48" spans="1:9">
      <c r="A48" s="311" t="s">
        <v>357</v>
      </c>
      <c r="B48" s="314"/>
      <c r="C48" s="36">
        <f>YEAR(前年レート!K3)</f>
        <v>2024</v>
      </c>
      <c r="I48" s="36"/>
    </row>
    <row r="49" spans="1:9">
      <c r="A49" s="311" t="s">
        <v>358</v>
      </c>
      <c r="B49" s="314"/>
      <c r="C49" s="36">
        <f>YEAR(当年レート!K3)</f>
        <v>2025</v>
      </c>
      <c r="I49" s="36"/>
    </row>
    <row r="50" spans="1:9">
      <c r="A50" s="311" t="s">
        <v>359</v>
      </c>
      <c r="B50" s="314"/>
      <c r="C50" s="36">
        <f>IF(YEAR(C47)-1=C48,1,IF(YEAR(C47)-1=C49,2,0))</f>
        <v>2</v>
      </c>
      <c r="I50" s="36"/>
    </row>
    <row r="51" spans="1:9">
      <c r="A51" s="311" t="s">
        <v>459</v>
      </c>
      <c r="B51" s="314"/>
      <c r="C51" s="36">
        <f>IF(C45&lt;=2025,0,IF(AND(C45=2026,OR(C44=2,C44=6)),0,1))</f>
        <v>1</v>
      </c>
      <c r="I51" s="36" t="s">
        <v>1073</v>
      </c>
    </row>
    <row r="52" spans="1:9">
      <c r="A52" s="311" t="s">
        <v>1094</v>
      </c>
      <c r="B52" s="314"/>
      <c r="C52" s="305">
        <f>MAX(IF(AND($C$51=1,C3&lt;T11所得区分!$B$32),C3-T12給与所得!$B$62,IF(C3&lt;T11所得区分!$B$16,T12給与所得!$B$2,IF(C3&lt;T11所得区分!$B$17,C3-T12給与所得!$B$13,IF(C3&lt;T11所得区分!$B$18,T12給与所得!$B$4,IF(C3&lt;T11所得区分!$B$19,T12給与所得!$B$5,IF(C3&lt;T11所得区分!$B$20,T12給与所得!$B$6,IF(C3&lt;T11所得区分!$B$21,T12給与所得!$B$7,IF(C3&lt;T11所得区分!$B$22,ROUNDDOWN(C3/4000,0)*4000*T12給与所得!$B$19-T12給与所得!$B$14,IF(C3&lt;T11所得区分!$B$23,ROUNDDOWN(C3/4000,0)*4000*T12給与所得!$B$20-T12給与所得!$B$15,IF(C3&lt;T11所得区分!$B$24,ROUNDDOWN(C3/4000,0)*4000*T12給与所得!$B$21-T12給与所得!$B$16,IF(C3&lt;T11所得区分!$B$25,C3*T12給与所得!$B$22-T12給与所得!$B$17,C3-T12給与所得!$B$18))))))))))),0)</f>
        <v>0</v>
      </c>
      <c r="D52" s="305">
        <f>MAX(IF(AND($C$51=1,D3&lt;T11所得区分!$B$32),D3-T12給与所得!$B$62,IF(D3&lt;T11所得区分!$B$16,T12給与所得!$B$2,IF(D3&lt;T11所得区分!$B$17,D3-T12給与所得!$B$13,IF(D3&lt;T11所得区分!$B$18,T12給与所得!$B$4,IF(D3&lt;T11所得区分!$B$19,T12給与所得!$B$5,IF(D3&lt;T11所得区分!$B$20,T12給与所得!$B$6,IF(D3&lt;T11所得区分!$B$21,T12給与所得!$B$7,IF(D3&lt;T11所得区分!$B$22,ROUNDDOWN(D3/4000,0)*4000*T12給与所得!$B$19-T12給与所得!$B$14,IF(D3&lt;T11所得区分!$B$23,ROUNDDOWN(D3/4000,0)*4000*T12給与所得!$B$20-T12給与所得!$B$15,IF(D3&lt;T11所得区分!$B$24,ROUNDDOWN(D3/4000,0)*4000*T12給与所得!$B$21-T12給与所得!$B$16,IF(D3&lt;T11所得区分!$B$25,D3*T12給与所得!$B$22-T12給与所得!$B$17,D3-T12給与所得!$B$18))))))))))),0)</f>
        <v>0</v>
      </c>
      <c r="I52" s="36" t="s">
        <v>1074</v>
      </c>
    </row>
    <row r="53" spans="1:9">
      <c r="A53" s="311" t="s">
        <v>1093</v>
      </c>
      <c r="B53" s="314"/>
      <c r="C53" s="305">
        <f>MAX(SUM(C52,C6,C7)-C55,0)</f>
        <v>0</v>
      </c>
      <c r="D53" s="305">
        <f>MAX(SUM(D52,D6,D7)-D55,0)</f>
        <v>0</v>
      </c>
      <c r="I53" s="36" t="s">
        <v>1075</v>
      </c>
    </row>
    <row r="54" spans="1:9">
      <c r="A54" s="311" t="s">
        <v>483</v>
      </c>
      <c r="B54" s="314"/>
      <c r="C54" s="305">
        <f>IF(AND(SUM(海外居住者のための収入等申告書!F51:F53,海外居住者のための収入等申告書!L51:L53,IF(AND($B$2&lt;23,SUM(C36:D38)&gt;0),1,0),C40:D41,IF(OR(海外居住者のための収入等申告書!F39="特別の障がい者である",AND(海外居住者のための収入等申告書!L39="特別の障がい者である",計算シート!D53&lt;T11所得区分!$B$31)),1,0))&gt;0,C3&gt;8500000),ROUNDUP((MIN(C3,T11所得区分!$B$29)-8500000)*0.1,0),0)</f>
        <v>0</v>
      </c>
      <c r="D54" s="305">
        <f>IF(AND(SUM(海外居住者のための収入等申告書!F51:F53,海外居住者のための収入等申告書!L51:L53,IF(AND($B$2&lt;23,SUM(C36:D38)&gt;0),1,0),C40:D41,IF(OR(海外居住者のための収入等申告書!L39="特別の障がい者である",AND(海外居住者のための収入等申告書!F39="特別の障がい者である",計算シート!C53&lt;T11所得区分!$B$31)),1,0))&gt;0,D3&gt;8500000),ROUNDUP((MIN(D3,T11所得区分!$B$29)-8500000)*0.1,0),0)</f>
        <v>0</v>
      </c>
      <c r="I54" s="305" t="s">
        <v>1095</v>
      </c>
    </row>
    <row r="55" spans="1:9">
      <c r="A55" s="312" t="s">
        <v>484</v>
      </c>
      <c r="B55" s="315"/>
      <c r="C55" s="305">
        <f>IF(AND(C52&gt;0,C6&gt;0,SUM(C52,C6)&gt;T11所得区分!$B$30),SUM(MIN(計算シート!C52,T11所得区分!$B$30),MIN(計算シート!C6,T11所得区分!$B$30),-100000),0)</f>
        <v>0</v>
      </c>
      <c r="D55" s="305">
        <f>IF(AND(D52&gt;0,D6&gt;0,SUM(D52,D6)&gt;T11所得区分!$B$30),SUM(MIN(計算シート!D52,T11所得区分!$B$30),MIN(計算シート!D6,T11所得区分!$B$30),-100000),0)</f>
        <v>0</v>
      </c>
      <c r="I55" s="305" t="s">
        <v>1058</v>
      </c>
    </row>
    <row r="56" spans="1:9">
      <c r="A56" s="311" t="s">
        <v>513</v>
      </c>
      <c r="B56" s="314"/>
      <c r="C56" s="36">
        <f>IF(YEAR(C47)&gt;2021,1,0)</f>
        <v>1</v>
      </c>
      <c r="I56" s="36"/>
    </row>
    <row r="57" spans="1:9">
      <c r="A57" s="311" t="s">
        <v>514</v>
      </c>
      <c r="B57" s="314"/>
      <c r="C57" s="36">
        <f>IFERROR(DATEDIF(IF(計算シート!C69=0,海外居住者のための収入等申告書!F23,海外居住者のための収入等申告書!F35),C47-1,"y"),125)</f>
        <v>125</v>
      </c>
      <c r="I57" s="36"/>
    </row>
    <row r="58" spans="1:9">
      <c r="A58" s="311" t="s">
        <v>332</v>
      </c>
      <c r="B58" s="314"/>
      <c r="C58" s="36">
        <f>IFERROR(VALUE(TEXT(MONTH(IF(計算シート!C69=0,海外居住者のための収入等申告書!F23,海外居住者のための収入等申告書!F35)),"00")&amp;TEXT(DAY(IF(計算シート!C69=0,海外居住者のための収入等申告書!F23,海外居住者のための収入等申告書!F35)),"00")),1000)</f>
        <v>1000</v>
      </c>
      <c r="I58" s="36"/>
    </row>
    <row r="59" spans="1:9">
      <c r="A59" s="311" t="s">
        <v>515</v>
      </c>
      <c r="B59" s="314"/>
      <c r="C59" s="36">
        <f>IF(計算シート!C69=0,IFERROR(IF(AND(C56=1,C57=18,C58&gt;101,C58&lt;=401),1,0),0),0)</f>
        <v>0</v>
      </c>
      <c r="I59" s="36"/>
    </row>
    <row r="60" spans="1:9">
      <c r="A60" s="311" t="s">
        <v>1090</v>
      </c>
      <c r="B60" s="314"/>
      <c r="C60" s="36">
        <f>IF(AND(C59=1,SUM(C37)&gt;0,IF(SUM(D37)&gt;0,IF(C35&gt;=D35,1,0),1)&gt;0),7200,0)</f>
        <v>0</v>
      </c>
      <c r="D60" s="36">
        <f>IF(AND(C59=1,SUM(D37)&gt;0,IF(SUM(C37)&gt;0,IF(C35&lt;D35,1,0),1)&gt;0),7200,0)</f>
        <v>0</v>
      </c>
      <c r="I60" s="36" t="s">
        <v>1063</v>
      </c>
    </row>
    <row r="61" spans="1:9">
      <c r="A61" s="311" t="s">
        <v>1056</v>
      </c>
      <c r="B61" s="314"/>
      <c r="C61" s="513">
        <f>IF('計算シート2(特定親族)'!B28="生計維持者１",'計算シート2(特定親族)'!B31+'計算シート2(特定親族)'!B33,0)*T16税率等!$B$2/100</f>
        <v>0</v>
      </c>
      <c r="D61" s="513">
        <f>IF('計算シート2(特定親族)'!B28="生計維持者２",'計算シート2(特定親族)'!B31+'計算シート2(特定親族)'!B33,0)*T16税率等!$B$2/100</f>
        <v>0</v>
      </c>
      <c r="I61" s="36" t="s">
        <v>1064</v>
      </c>
    </row>
    <row r="62" spans="1:9">
      <c r="A62" s="311" t="s">
        <v>1091</v>
      </c>
      <c r="B62" s="314"/>
      <c r="C62" s="305" t="str">
        <f>IFERROR(MAX(0,C35-C60-C61),C35)</f>
        <v>エラー</v>
      </c>
      <c r="D62" s="305">
        <f>IFERROR(MAX(0,D35-D60-D61),D35)</f>
        <v>0</v>
      </c>
      <c r="I62" s="36" t="s">
        <v>1065</v>
      </c>
    </row>
    <row r="63" spans="1:9">
      <c r="A63" s="311" t="s">
        <v>1092</v>
      </c>
      <c r="B63" s="314"/>
      <c r="C63" s="514" t="str">
        <f>IFERROR(IF(OR(C8&lt;=C27,C8&lt;=C26,C30-C33-C60-C61&lt;0),0,ROUNDDOWN(C30-C33-C60-C61,-2)),"エラー")</f>
        <v>エラー</v>
      </c>
      <c r="D63" s="514">
        <f>IFERROR(IF(OR(D1="生計維持者２",D1="申込者本人の配偶者"),IF(VLOOKUP(海外居住者のための収入等申告書!F37,計算シート!F3:G13,2,0)=2,0,IF(OR(D8&lt;=D27,D8&lt;=D26,D30-D33-D60-D61&lt;0),0,ROUNDDOWN(D30-D33-D60-D61,-2))),0),"エラー")</f>
        <v>0</v>
      </c>
      <c r="I63" s="36" t="s">
        <v>1065</v>
      </c>
    </row>
    <row r="64" spans="1:9">
      <c r="A64" s="311" t="s">
        <v>735</v>
      </c>
      <c r="B64" s="314"/>
      <c r="C64" s="36">
        <f>IF(OR(AND(C45&gt;2023,C44&lt;5),AND(C45&gt;2024,C44&gt;=5),AND(C45=2023,C44=1),AND(C45=2024,C44=5)),1,0)</f>
        <v>1</v>
      </c>
      <c r="I64" s="36"/>
    </row>
    <row r="65" spans="1:9">
      <c r="A65" s="311" t="s">
        <v>899</v>
      </c>
      <c r="B65" s="314"/>
      <c r="C65" s="427">
        <f>IFERROR(IF(OR(VLOOKUP(海外居住者のための収入等申告書!I15,計算シート!F24:G29,2,0)&lt;5,海外居住者のための収入等申告書!I13&lt;=海外居住者のための収入等申告書!F35),1,0),0)</f>
        <v>0</v>
      </c>
      <c r="D65" s="36">
        <f>IFERROR(IF(D1="生計維持者２",1,0),0)</f>
        <v>0</v>
      </c>
      <c r="I65" s="36"/>
    </row>
    <row r="66" spans="1:9">
      <c r="A66" s="311" t="s">
        <v>733</v>
      </c>
      <c r="B66" s="314"/>
      <c r="C66" s="305">
        <f>IF(計算シート!C69=0,SUM(海外居住者のための収入等申告書!F51:F53,MAX(0,海外居住者のための収入等申告書!F55-海外居住者のための収入等申告書!H55),'計算シート2(特定親族)'!L8:L9)+IF(D1="生計維持者２",SUM(海外居住者のための収入等申告書!L51:L53,MAX(0,海外居住者のための収入等申告書!L55-海外居住者のための収入等申告書!N55),'計算シート2(特定親族)'!L20:L21),0)+C67,0)</f>
        <v>0</v>
      </c>
      <c r="I66" s="36" t="s">
        <v>1066</v>
      </c>
    </row>
    <row r="67" spans="1:9">
      <c r="A67" s="311" t="s">
        <v>895</v>
      </c>
      <c r="B67" s="314"/>
      <c r="C67" s="36">
        <f>IF(OR(AND(C65=1,SUM(C36:C38)&gt;0),AND(D65=1,SUM(D36:D38)&gt;0),'計算シート2(特定親族)'!B30=1),1,0)</f>
        <v>0</v>
      </c>
      <c r="I67" s="36" t="s">
        <v>1067</v>
      </c>
    </row>
    <row r="68" spans="1:9">
      <c r="A68" s="320" t="s">
        <v>734</v>
      </c>
      <c r="B68" s="321"/>
      <c r="C68" s="515" t="e">
        <f>IF(計算シート!C69=0,IF(OR(SUM(C20:D22)&gt;0,AND(SUM(C9:D9)=0,VLOOKUP(海外居住者のための収入等申告書!$I$15,$F$24:$G$29,2,FALSE)&lt;3)),1,0),0)</f>
        <v>#N/A</v>
      </c>
      <c r="I68" s="36" t="s">
        <v>1068</v>
      </c>
    </row>
    <row r="69" spans="1:9">
      <c r="A69" s="357" t="s">
        <v>757</v>
      </c>
      <c r="B69" s="358"/>
      <c r="C69" s="359">
        <f>IF(VLOOKUP(海外居住者のための収入等申告書!L10,計算シート!F14:G22,2,0)&gt;4,1,0)</f>
        <v>0</v>
      </c>
      <c r="I69" s="36"/>
    </row>
    <row r="73" spans="1:9">
      <c r="A73" s="39" t="s">
        <v>512</v>
      </c>
    </row>
    <row r="74" spans="1:9">
      <c r="A74" s="39" t="s">
        <v>508</v>
      </c>
    </row>
    <row r="75" spans="1:9">
      <c r="A75" s="39" t="s">
        <v>509</v>
      </c>
    </row>
    <row r="76" spans="1:9">
      <c r="A76" s="39" t="s">
        <v>510</v>
      </c>
    </row>
    <row r="77" spans="1:9">
      <c r="A77" s="39" t="s">
        <v>507</v>
      </c>
    </row>
    <row r="78" spans="1:9">
      <c r="A78" s="39" t="s">
        <v>511</v>
      </c>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6D15-3508-40CA-8E8E-0CCAD48CE4DF}">
  <dimension ref="A1:O33"/>
  <sheetViews>
    <sheetView workbookViewId="0">
      <selection activeCell="C47" sqref="C47"/>
    </sheetView>
  </sheetViews>
  <sheetFormatPr defaultRowHeight="13.2"/>
  <cols>
    <col min="1" max="1" width="17.77734375" style="39" bestFit="1" customWidth="1"/>
    <col min="2" max="10" width="13.6640625" style="39" customWidth="1"/>
    <col min="11" max="11" width="20.33203125" style="39" bestFit="1" customWidth="1"/>
    <col min="12" max="13" width="8.88671875" style="39"/>
    <col min="14" max="14" width="13.88671875" style="39" bestFit="1" customWidth="1"/>
    <col min="15" max="15" width="14.33203125" style="39" customWidth="1"/>
    <col min="16" max="16384" width="8.88671875" style="39"/>
  </cols>
  <sheetData>
    <row r="1" spans="1:15" ht="13.8" thickBot="1">
      <c r="A1" s="516" t="s">
        <v>961</v>
      </c>
      <c r="B1" s="314">
        <v>1</v>
      </c>
      <c r="C1" s="425">
        <v>2</v>
      </c>
      <c r="D1" s="425">
        <v>3</v>
      </c>
      <c r="E1" s="425">
        <v>4</v>
      </c>
      <c r="F1" s="425">
        <v>5</v>
      </c>
      <c r="G1" s="425">
        <v>6</v>
      </c>
      <c r="H1" s="425">
        <v>7</v>
      </c>
      <c r="I1" s="425">
        <v>8</v>
      </c>
      <c r="J1" s="425">
        <v>9</v>
      </c>
      <c r="N1" s="425" t="s">
        <v>17</v>
      </c>
      <c r="O1" s="425" t="s">
        <v>973</v>
      </c>
    </row>
    <row r="2" spans="1:15">
      <c r="A2" s="517"/>
      <c r="B2" s="425" t="s">
        <v>962</v>
      </c>
      <c r="C2" s="425" t="s">
        <v>963</v>
      </c>
      <c r="D2" s="425" t="s">
        <v>964</v>
      </c>
      <c r="E2" s="425" t="s">
        <v>965</v>
      </c>
      <c r="F2" s="425" t="s">
        <v>966</v>
      </c>
      <c r="G2" s="425" t="s">
        <v>967</v>
      </c>
      <c r="H2" s="425" t="s">
        <v>968</v>
      </c>
      <c r="I2" s="425" t="s">
        <v>969</v>
      </c>
      <c r="J2" s="425" t="s">
        <v>970</v>
      </c>
      <c r="N2" s="513">
        <v>0</v>
      </c>
      <c r="O2" s="513">
        <v>450000</v>
      </c>
    </row>
    <row r="3" spans="1:15">
      <c r="A3" s="518" t="s">
        <v>974</v>
      </c>
      <c r="B3" s="36">
        <f>IF(OR(海外居住者のための収入等申告書!$F$54&lt;B1,計算シート!$C$51=0),0,1)</f>
        <v>0</v>
      </c>
      <c r="C3" s="36">
        <f>IF(OR(海外居住者のための収入等申告書!$F$54&lt;C1,計算シート!$C$51=0),0,1)</f>
        <v>0</v>
      </c>
      <c r="D3" s="36">
        <f>IF(OR(海外居住者のための収入等申告書!$F$54&lt;D1,計算シート!$C$51=0),0,1)</f>
        <v>0</v>
      </c>
      <c r="E3" s="36">
        <f>IF(OR(海外居住者のための収入等申告書!$F$54&lt;E1,計算シート!$C$51=0),0,1)</f>
        <v>0</v>
      </c>
      <c r="F3" s="36">
        <f>IF(OR(海外居住者のための収入等申告書!$F$54&lt;F1,計算シート!$C$51=0),0,1)</f>
        <v>0</v>
      </c>
      <c r="G3" s="36">
        <f>IF(OR(海外居住者のための収入等申告書!$F$54&lt;G1,計算シート!$C$51=0),0,1)</f>
        <v>0</v>
      </c>
      <c r="H3" s="36">
        <f>IF(OR(海外居住者のための収入等申告書!$F$54&lt;H1,計算シート!$C$51=0),0,1)</f>
        <v>0</v>
      </c>
      <c r="I3" s="36">
        <f>IF(OR(海外居住者のための収入等申告書!$F$54&lt;I1,計算シート!$C$51=0),0,1)</f>
        <v>0</v>
      </c>
      <c r="J3" s="36">
        <f>IF(OR(海外居住者のための収入等申告書!$F$54&lt;J1,計算シート!$C$51=0),0,1)</f>
        <v>0</v>
      </c>
      <c r="N3" s="513">
        <v>950001</v>
      </c>
      <c r="O3" s="513">
        <v>410000</v>
      </c>
    </row>
    <row r="4" spans="1:15">
      <c r="A4" s="425" t="s">
        <v>166</v>
      </c>
      <c r="B4" s="513">
        <f>海外居住者のための収入等申告書!F83*VLOOKUP(海外居住者のための収入等申告書!F82,IF(計算シート!$C$50=1,前年レート!$N$12:$O$74,IF(計算シート!$C$50=2,当年レート!$N$12:$O$74,"")),2,0)</f>
        <v>0</v>
      </c>
      <c r="C4" s="513">
        <f>海外居住者のための収入等申告書!F89*VLOOKUP(海外居住者のための収入等申告書!F88,IF(計算シート!$C$50=1,前年レート!$N$12:$O$74,IF(計算シート!$C$50=2,当年レート!$N$12:$O$74,"")),2,0)</f>
        <v>0</v>
      </c>
      <c r="D4" s="513">
        <f>海外居住者のための収入等申告書!F95*VLOOKUP(海外居住者のための収入等申告書!F94,IF(計算シート!$C$50=1,前年レート!$N$12:$O$74,IF(計算シート!$C$50=2,当年レート!$N$12:$O$74,"")),2,0)</f>
        <v>0</v>
      </c>
      <c r="E4" s="513">
        <f>海外居住者のための収入等申告書!F101*VLOOKUP(海外居住者のための収入等申告書!F100,IF(計算シート!$C$50=1,前年レート!$N$12:$O$74,IF(計算シート!$C$50=2,当年レート!$N$12:$O$74,"")),2,0)</f>
        <v>0</v>
      </c>
      <c r="F4" s="513">
        <f>海外居住者のための収入等申告書!F107*VLOOKUP(海外居住者のための収入等申告書!F106,IF(計算シート!$C$50=1,前年レート!$N$12:$O$74,IF(計算シート!$C$50=2,当年レート!$N$12:$O$74,"")),2,0)</f>
        <v>0</v>
      </c>
      <c r="G4" s="513">
        <f>海外居住者のための収入等申告書!F113*VLOOKUP(海外居住者のための収入等申告書!F112,IF(計算シート!$C$50=1,前年レート!$N$12:$O$74,IF(計算シート!$C$50=2,当年レート!$N$12:$O$74,"")),2,0)</f>
        <v>0</v>
      </c>
      <c r="H4" s="513">
        <f>海外居住者のための収入等申告書!F119*VLOOKUP(海外居住者のための収入等申告書!F118,IF(計算シート!$C$50=1,前年レート!$N$12:$O$74,IF(計算シート!$C$50=2,当年レート!$N$12:$O$74,"")),2,0)</f>
        <v>0</v>
      </c>
      <c r="I4" s="513">
        <f>海外居住者のための収入等申告書!F125*VLOOKUP(海外居住者のための収入等申告書!F124,IF(計算シート!$C$50=1,前年レート!$N$12:$O$74,IF(計算シート!$C$50=2,当年レート!$N$12:$O$74,"")),2,0)</f>
        <v>0</v>
      </c>
      <c r="J4" s="513">
        <f>海外居住者のための収入等申告書!F131*VLOOKUP(海外居住者のための収入等申告書!F130,IF(計算シート!$C$50=1,前年レート!$N$12:$O$74,IF(計算シート!$C$50=2,当年レート!$N$12:$O$74,"")),2,0)</f>
        <v>0</v>
      </c>
      <c r="N4" s="513">
        <v>1000001</v>
      </c>
      <c r="O4" s="513">
        <v>310000</v>
      </c>
    </row>
    <row r="5" spans="1:15">
      <c r="A5" s="425" t="s">
        <v>16</v>
      </c>
      <c r="B5" s="513">
        <f>MAX(IF(AND(計算シート!$C$51=1,B4&lt;T11所得区分!$B$32),B4-T12給与所得!$B$62,IF(B4&lt;T11所得区分!$B$16,T12給与所得!$B$2,IF(B4&lt;T11所得区分!$B$17,B4-T12給与所得!$B$13,IF(B4&lt;T11所得区分!$B$18,T12給与所得!$B$4,IF(B4&lt;T11所得区分!$B$19,T12給与所得!$B$5,IF(B4&lt;T11所得区分!$B$20,T12給与所得!$B$6,IF(B4&lt;T11所得区分!$B$21,T12給与所得!$B$7,IF(B4&lt;T11所得区分!$B$22,ROUNDDOWN(B4/4000,0)*4000*T12給与所得!$B$19-T12給与所得!$B$14,IF(B4&lt;T11所得区分!$B$23,ROUNDDOWN(B4/4000,0)*4000*T12給与所得!$B$20-T12給与所得!$B$15,IF(B4&lt;T11所得区分!$B$24,ROUNDDOWN(B4/4000,0)*4000*T12給与所得!$B$21-T12給与所得!$B$16,IF(B4&lt;T11所得区分!$B$25,B4*T12給与所得!$B$22-T12給与所得!$B$17,B4-T12給与所得!$B$18))))))))))),0)</f>
        <v>0</v>
      </c>
      <c r="C5" s="513">
        <f>MAX(IF(AND(計算シート!$C$51=1,C4&lt;T11所得区分!$B$32),C4-T12給与所得!$B$62,IF(C4&lt;T11所得区分!$B$16,T12給与所得!$B$2,IF(C4&lt;T11所得区分!$B$17,C4-T12給与所得!$B$13,IF(C4&lt;T11所得区分!$B$18,T12給与所得!$B$4,IF(C4&lt;T11所得区分!$B$19,T12給与所得!$B$5,IF(C4&lt;T11所得区分!$B$20,T12給与所得!$B$6,IF(C4&lt;T11所得区分!$B$21,T12給与所得!$B$7,IF(C4&lt;T11所得区分!$B$22,ROUNDDOWN(C4/4000,0)*4000*T12給与所得!$B$19-T12給与所得!$B$14,IF(C4&lt;T11所得区分!$B$23,ROUNDDOWN(C4/4000,0)*4000*T12給与所得!$B$20-T12給与所得!$B$15,IF(C4&lt;T11所得区分!$B$24,ROUNDDOWN(C4/4000,0)*4000*T12給与所得!$B$21-T12給与所得!$B$16,IF(C4&lt;T11所得区分!$B$25,C4*T12給与所得!$B$22-T12給与所得!$B$17,C4-T12給与所得!$B$18))))))))))),0)</f>
        <v>0</v>
      </c>
      <c r="D5" s="513">
        <f>MAX(IF(AND(計算シート!$C$51=1,D4&lt;T11所得区分!$B$32),D4-T12給与所得!$B$62,IF(D4&lt;T11所得区分!$B$16,T12給与所得!$B$2,IF(D4&lt;T11所得区分!$B$17,D4-T12給与所得!$B$13,IF(D4&lt;T11所得区分!$B$18,T12給与所得!$B$4,IF(D4&lt;T11所得区分!$B$19,T12給与所得!$B$5,IF(D4&lt;T11所得区分!$B$20,T12給与所得!$B$6,IF(D4&lt;T11所得区分!$B$21,T12給与所得!$B$7,IF(D4&lt;T11所得区分!$B$22,ROUNDDOWN(D4/4000,0)*4000*T12給与所得!$B$19-T12給与所得!$B$14,IF(D4&lt;T11所得区分!$B$23,ROUNDDOWN(D4/4000,0)*4000*T12給与所得!$B$20-T12給与所得!$B$15,IF(D4&lt;T11所得区分!$B$24,ROUNDDOWN(D4/4000,0)*4000*T12給与所得!$B$21-T12給与所得!$B$16,IF(D4&lt;T11所得区分!$B$25,D4*T12給与所得!$B$22-T12給与所得!$B$17,D4-T12給与所得!$B$18))))))))))),0)</f>
        <v>0</v>
      </c>
      <c r="E5" s="513">
        <f>MAX(IF(AND(計算シート!$C$51=1,E4&lt;T11所得区分!$B$32),E4-T12給与所得!$B$62,IF(E4&lt;T11所得区分!$B$16,T12給与所得!$B$2,IF(E4&lt;T11所得区分!$B$17,E4-T12給与所得!$B$13,IF(E4&lt;T11所得区分!$B$18,T12給与所得!$B$4,IF(E4&lt;T11所得区分!$B$19,T12給与所得!$B$5,IF(E4&lt;T11所得区分!$B$20,T12給与所得!$B$6,IF(E4&lt;T11所得区分!$B$21,T12給与所得!$B$7,IF(E4&lt;T11所得区分!$B$22,ROUNDDOWN(E4/4000,0)*4000*T12給与所得!$B$19-T12給与所得!$B$14,IF(E4&lt;T11所得区分!$B$23,ROUNDDOWN(E4/4000,0)*4000*T12給与所得!$B$20-T12給与所得!$B$15,IF(E4&lt;T11所得区分!$B$24,ROUNDDOWN(E4/4000,0)*4000*T12給与所得!$B$21-T12給与所得!$B$16,IF(E4&lt;T11所得区分!$B$25,E4*T12給与所得!$B$22-T12給与所得!$B$17,E4-T12給与所得!$B$18))))))))))),0)</f>
        <v>0</v>
      </c>
      <c r="F5" s="513">
        <f>MAX(IF(AND(計算シート!$C$51=1,F4&lt;T11所得区分!$B$32),F4-T12給与所得!$B$62,IF(F4&lt;T11所得区分!$B$16,T12給与所得!$B$2,IF(F4&lt;T11所得区分!$B$17,F4-T12給与所得!$B$13,IF(F4&lt;T11所得区分!$B$18,T12給与所得!$B$4,IF(F4&lt;T11所得区分!$B$19,T12給与所得!$B$5,IF(F4&lt;T11所得区分!$B$20,T12給与所得!$B$6,IF(F4&lt;T11所得区分!$B$21,T12給与所得!$B$7,IF(F4&lt;T11所得区分!$B$22,ROUNDDOWN(F4/4000,0)*4000*T12給与所得!$B$19-T12給与所得!$B$14,IF(F4&lt;T11所得区分!$B$23,ROUNDDOWN(F4/4000,0)*4000*T12給与所得!$B$20-T12給与所得!$B$15,IF(F4&lt;T11所得区分!$B$24,ROUNDDOWN(F4/4000,0)*4000*T12給与所得!$B$21-T12給与所得!$B$16,IF(F4&lt;T11所得区分!$B$25,F4*T12給与所得!$B$22-T12給与所得!$B$17,F4-T12給与所得!$B$18))))))))))),0)</f>
        <v>0</v>
      </c>
      <c r="G5" s="513">
        <f>MAX(IF(AND(計算シート!$C$51=1,G4&lt;T11所得区分!$B$32),G4-T12給与所得!$B$62,IF(G4&lt;T11所得区分!$B$16,T12給与所得!$B$2,IF(G4&lt;T11所得区分!$B$17,G4-T12給与所得!$B$13,IF(G4&lt;T11所得区分!$B$18,T12給与所得!$B$4,IF(G4&lt;T11所得区分!$B$19,T12給与所得!$B$5,IF(G4&lt;T11所得区分!$B$20,T12給与所得!$B$6,IF(G4&lt;T11所得区分!$B$21,T12給与所得!$B$7,IF(G4&lt;T11所得区分!$B$22,ROUNDDOWN(G4/4000,0)*4000*T12給与所得!$B$19-T12給与所得!$B$14,IF(G4&lt;T11所得区分!$B$23,ROUNDDOWN(G4/4000,0)*4000*T12給与所得!$B$20-T12給与所得!$B$15,IF(G4&lt;T11所得区分!$B$24,ROUNDDOWN(G4/4000,0)*4000*T12給与所得!$B$21-T12給与所得!$B$16,IF(G4&lt;T11所得区分!$B$25,G4*T12給与所得!$B$22-T12給与所得!$B$17,G4-T12給与所得!$B$18))))))))))),0)</f>
        <v>0</v>
      </c>
      <c r="H5" s="513">
        <f>MAX(IF(AND(計算シート!$C$51=1,H4&lt;T11所得区分!$B$32),H4-T12給与所得!$B$62,IF(H4&lt;T11所得区分!$B$16,T12給与所得!$B$2,IF(H4&lt;T11所得区分!$B$17,H4-T12給与所得!$B$13,IF(H4&lt;T11所得区分!$B$18,T12給与所得!$B$4,IF(H4&lt;T11所得区分!$B$19,T12給与所得!$B$5,IF(H4&lt;T11所得区分!$B$20,T12給与所得!$B$6,IF(H4&lt;T11所得区分!$B$21,T12給与所得!$B$7,IF(H4&lt;T11所得区分!$B$22,ROUNDDOWN(H4/4000,0)*4000*T12給与所得!$B$19-T12給与所得!$B$14,IF(H4&lt;T11所得区分!$B$23,ROUNDDOWN(H4/4000,0)*4000*T12給与所得!$B$20-T12給与所得!$B$15,IF(H4&lt;T11所得区分!$B$24,ROUNDDOWN(H4/4000,0)*4000*T12給与所得!$B$21-T12給与所得!$B$16,IF(H4&lt;T11所得区分!$B$25,H4*T12給与所得!$B$22-T12給与所得!$B$17,H4-T12給与所得!$B$18))))))))))),0)</f>
        <v>0</v>
      </c>
      <c r="I5" s="513">
        <f>MAX(IF(AND(計算シート!$C$51=1,I4&lt;T11所得区分!$B$32),I4-T12給与所得!$B$62,IF(I4&lt;T11所得区分!$B$16,T12給与所得!$B$2,IF(I4&lt;T11所得区分!$B$17,I4-T12給与所得!$B$13,IF(I4&lt;T11所得区分!$B$18,T12給与所得!$B$4,IF(I4&lt;T11所得区分!$B$19,T12給与所得!$B$5,IF(I4&lt;T11所得区分!$B$20,T12給与所得!$B$6,IF(I4&lt;T11所得区分!$B$21,T12給与所得!$B$7,IF(I4&lt;T11所得区分!$B$22,ROUNDDOWN(I4/4000,0)*4000*T12給与所得!$B$19-T12給与所得!$B$14,IF(I4&lt;T11所得区分!$B$23,ROUNDDOWN(I4/4000,0)*4000*T12給与所得!$B$20-T12給与所得!$B$15,IF(I4&lt;T11所得区分!$B$24,ROUNDDOWN(I4/4000,0)*4000*T12給与所得!$B$21-T12給与所得!$B$16,IF(I4&lt;T11所得区分!$B$25,I4*T12給与所得!$B$22-T12給与所得!$B$17,I4-T12給与所得!$B$18))))))))))),0)</f>
        <v>0</v>
      </c>
      <c r="J5" s="513">
        <f>MAX(IF(AND(計算シート!$C$51=1,J4&lt;T11所得区分!$B$32),J4-T12給与所得!$B$62,IF(J4&lt;T11所得区分!$B$16,T12給与所得!$B$2,IF(J4&lt;T11所得区分!$B$17,J4-T12給与所得!$B$13,IF(J4&lt;T11所得区分!$B$18,T12給与所得!$B$4,IF(J4&lt;T11所得区分!$B$19,T12給与所得!$B$5,IF(J4&lt;T11所得区分!$B$20,T12給与所得!$B$6,IF(J4&lt;T11所得区分!$B$21,T12給与所得!$B$7,IF(J4&lt;T11所得区分!$B$22,ROUNDDOWN(J4/4000,0)*4000*T12給与所得!$B$19-T12給与所得!$B$14,IF(J4&lt;T11所得区分!$B$23,ROUNDDOWN(J4/4000,0)*4000*T12給与所得!$B$20-T12給与所得!$B$15,IF(J4&lt;T11所得区分!$B$24,ROUNDDOWN(J4/4000,0)*4000*T12給与所得!$B$21-T12給与所得!$B$16,IF(J4&lt;T11所得区分!$B$25,J4*T12給与所得!$B$22-T12給与所得!$B$17,J4-T12給与所得!$B$18))))))))))),0)</f>
        <v>0</v>
      </c>
      <c r="N5" s="513">
        <v>1050001</v>
      </c>
      <c r="O5" s="513">
        <v>210000</v>
      </c>
    </row>
    <row r="6" spans="1:15">
      <c r="A6" s="425" t="s">
        <v>216</v>
      </c>
      <c r="B6" s="513">
        <f>海外居住者のための収入等申告書!F85*VLOOKUP(海外居住者のための収入等申告書!F84,IF(計算シート!$C$50=1,前年レート!$N$12:$O$74,IF(計算シート!$C$50=2,当年レート!$N$12:$O$74,"")),2,0)</f>
        <v>0</v>
      </c>
      <c r="C6" s="513">
        <f>海外居住者のための収入等申告書!F91*VLOOKUP(海外居住者のための収入等申告書!F90,IF(計算シート!$C$50=1,前年レート!$N$12:$O$74,IF(計算シート!$C$50=2,当年レート!$N$12:$O$74,"")),2,0)</f>
        <v>0</v>
      </c>
      <c r="D6" s="513">
        <f>海外居住者のための収入等申告書!F97*VLOOKUP(海外居住者のための収入等申告書!F96,IF(計算シート!$C$50=1,前年レート!$N$12:$O$74,IF(計算シート!$C$50=2,当年レート!$N$12:$O$74,"")),2,0)</f>
        <v>0</v>
      </c>
      <c r="E6" s="513">
        <f>海外居住者のための収入等申告書!F103*VLOOKUP(海外居住者のための収入等申告書!F102,IF(計算シート!$C$50=1,前年レート!$N$12:$O$74,IF(計算シート!$C$50=2,当年レート!$N$12:$O$74,"")),2,0)</f>
        <v>0</v>
      </c>
      <c r="F6" s="513">
        <f>海外居住者のための収入等申告書!F109*VLOOKUP(海外居住者のための収入等申告書!F108,IF(計算シート!$C$50=1,前年レート!$N$12:$O$74,IF(計算シート!$C$50=2,当年レート!$N$12:$O$74,"")),2,0)</f>
        <v>0</v>
      </c>
      <c r="G6" s="513">
        <f>海外居住者のための収入等申告書!F115*VLOOKUP(海外居住者のための収入等申告書!F114,IF(計算シート!$C$50=1,前年レート!$N$12:$O$74,IF(計算シート!$C$50=2,当年レート!$N$12:$O$74,"")),2,0)</f>
        <v>0</v>
      </c>
      <c r="H6" s="513">
        <f>海外居住者のための収入等申告書!F121*VLOOKUP(海外居住者のための収入等申告書!F120,IF(計算シート!$C$50=1,前年レート!$N$12:$O$74,IF(計算シート!$C$50=2,当年レート!$N$12:$O$74,"")),2,0)</f>
        <v>0</v>
      </c>
      <c r="I6" s="513">
        <f>海外居住者のための収入等申告書!F127*VLOOKUP(海外居住者のための収入等申告書!F126,IF(計算シート!$C$50=1,前年レート!$N$12:$O$74,IF(計算シート!$C$50=2,当年レート!$N$12:$O$74,"")),2,0)</f>
        <v>0</v>
      </c>
      <c r="J6" s="513">
        <f>海外居住者のための収入等申告書!F133*VLOOKUP(海外居住者のための収入等申告書!F132,IF(計算シート!$C$50=1,前年レート!$N$12:$O$74,IF(計算シート!$C$50=2,当年レート!$N$12:$O$74,"")),2,0)</f>
        <v>0</v>
      </c>
      <c r="N6" s="513">
        <v>1100001</v>
      </c>
      <c r="O6" s="513">
        <v>110000</v>
      </c>
    </row>
    <row r="7" spans="1:15" ht="13.8" thickBot="1">
      <c r="A7" s="519" t="s">
        <v>17</v>
      </c>
      <c r="B7" s="520">
        <f>ROUNDDOWN(B5+B6,0)</f>
        <v>0</v>
      </c>
      <c r="C7" s="520">
        <f t="shared" ref="C7:J7" si="0">ROUNDDOWN(C5+C6,0)</f>
        <v>0</v>
      </c>
      <c r="D7" s="520">
        <f t="shared" si="0"/>
        <v>0</v>
      </c>
      <c r="E7" s="520">
        <f t="shared" si="0"/>
        <v>0</v>
      </c>
      <c r="F7" s="520">
        <f t="shared" si="0"/>
        <v>0</v>
      </c>
      <c r="G7" s="520">
        <f t="shared" si="0"/>
        <v>0</v>
      </c>
      <c r="H7" s="520">
        <f t="shared" si="0"/>
        <v>0</v>
      </c>
      <c r="I7" s="520">
        <f t="shared" si="0"/>
        <v>0</v>
      </c>
      <c r="J7" s="520">
        <f t="shared" si="0"/>
        <v>0</v>
      </c>
      <c r="N7" s="513">
        <v>1150001</v>
      </c>
      <c r="O7" s="513">
        <v>60000</v>
      </c>
    </row>
    <row r="8" spans="1:15" ht="13.8" thickTop="1">
      <c r="A8" s="518" t="s">
        <v>975</v>
      </c>
      <c r="B8" s="521">
        <f>IF(B7&lt;=T11所得区分!$B$31,1,0)*B3</f>
        <v>0</v>
      </c>
      <c r="C8" s="521">
        <f>IF(C7&lt;=T11所得区分!$B$31,1,0)*C3</f>
        <v>0</v>
      </c>
      <c r="D8" s="521">
        <f>IF(D7&lt;=T11所得区分!$B$31,1,0)*D3</f>
        <v>0</v>
      </c>
      <c r="E8" s="521">
        <f>IF(E7&lt;=T11所得区分!$B$31,1,0)*E3</f>
        <v>0</v>
      </c>
      <c r="F8" s="521">
        <f>IF(F7&lt;=T11所得区分!$B$31,1,0)*F3</f>
        <v>0</v>
      </c>
      <c r="G8" s="521">
        <f>IF(G7&lt;=T11所得区分!$B$31,1,0)*G3</f>
        <v>0</v>
      </c>
      <c r="H8" s="521">
        <f>IF(H7&lt;=T11所得区分!$B$31,1,0)*H3</f>
        <v>0</v>
      </c>
      <c r="I8" s="521">
        <f>IF(I7&lt;=T11所得区分!$B$31,1,0)*I3</f>
        <v>0</v>
      </c>
      <c r="J8" s="521">
        <f>IF(J7&lt;=T11所得区分!$B$31,1,0)*J3</f>
        <v>0</v>
      </c>
      <c r="K8" s="425" t="s">
        <v>1048</v>
      </c>
      <c r="L8" s="522">
        <f>SUM(B8:J8)</f>
        <v>0</v>
      </c>
      <c r="N8" s="513">
        <v>1200001</v>
      </c>
      <c r="O8" s="513">
        <v>30000</v>
      </c>
    </row>
    <row r="9" spans="1:15">
      <c r="A9" s="425" t="s">
        <v>972</v>
      </c>
      <c r="B9" s="513">
        <f>IF(B7&lt;=950000,1,0)*(B3-B8)</f>
        <v>0</v>
      </c>
      <c r="C9" s="513">
        <f t="shared" ref="C9:J9" si="1">IF(C7&lt;=950000,1,0)*(C3-C8)</f>
        <v>0</v>
      </c>
      <c r="D9" s="513">
        <f t="shared" si="1"/>
        <v>0</v>
      </c>
      <c r="E9" s="513">
        <f t="shared" si="1"/>
        <v>0</v>
      </c>
      <c r="F9" s="513">
        <f t="shared" si="1"/>
        <v>0</v>
      </c>
      <c r="G9" s="513">
        <f t="shared" si="1"/>
        <v>0</v>
      </c>
      <c r="H9" s="513">
        <f t="shared" si="1"/>
        <v>0</v>
      </c>
      <c r="I9" s="513">
        <f t="shared" si="1"/>
        <v>0</v>
      </c>
      <c r="J9" s="513">
        <f t="shared" si="1"/>
        <v>0</v>
      </c>
      <c r="K9" s="425" t="s">
        <v>1049</v>
      </c>
      <c r="L9" s="522">
        <f>SUM(B9:J9)</f>
        <v>0</v>
      </c>
      <c r="N9" s="513">
        <v>1230001</v>
      </c>
      <c r="O9" s="513">
        <v>0</v>
      </c>
    </row>
    <row r="10" spans="1:15">
      <c r="A10" s="425" t="s">
        <v>1069</v>
      </c>
      <c r="B10" s="513">
        <f>IFERROR(VLOOKUP(B7,$N$2:$O$9,2,TRUE),0)*(B3-B8)</f>
        <v>0</v>
      </c>
      <c r="C10" s="513">
        <f t="shared" ref="C10:J10" si="2">IFERROR(VLOOKUP(C7,$N$2:$O$9,2,TRUE),0)*(C3-C8)</f>
        <v>0</v>
      </c>
      <c r="D10" s="513">
        <f t="shared" si="2"/>
        <v>0</v>
      </c>
      <c r="E10" s="513">
        <f t="shared" si="2"/>
        <v>0</v>
      </c>
      <c r="F10" s="513">
        <f t="shared" si="2"/>
        <v>0</v>
      </c>
      <c r="G10" s="513">
        <f t="shared" si="2"/>
        <v>0</v>
      </c>
      <c r="H10" s="513">
        <f t="shared" si="2"/>
        <v>0</v>
      </c>
      <c r="I10" s="513">
        <f t="shared" si="2"/>
        <v>0</v>
      </c>
      <c r="J10" s="513">
        <f t="shared" si="2"/>
        <v>0</v>
      </c>
      <c r="K10" s="425" t="s">
        <v>977</v>
      </c>
      <c r="L10" s="522">
        <f>SUM(B10:J10)</f>
        <v>0</v>
      </c>
    </row>
    <row r="11" spans="1:15">
      <c r="B11" s="523"/>
      <c r="C11" s="523"/>
      <c r="D11" s="523"/>
      <c r="E11" s="523"/>
      <c r="F11" s="523"/>
      <c r="G11" s="523"/>
      <c r="H11" s="523"/>
      <c r="I11" s="523"/>
      <c r="J11" s="523"/>
    </row>
    <row r="12" spans="1:15" ht="13.8" thickBot="1"/>
    <row r="13" spans="1:15" ht="13.8" thickBot="1">
      <c r="A13" s="516" t="s">
        <v>971</v>
      </c>
      <c r="B13" s="314">
        <v>1</v>
      </c>
      <c r="C13" s="425">
        <v>2</v>
      </c>
      <c r="D13" s="425">
        <v>3</v>
      </c>
      <c r="E13" s="425">
        <v>4</v>
      </c>
      <c r="F13" s="425">
        <v>5</v>
      </c>
      <c r="G13" s="425">
        <v>6</v>
      </c>
      <c r="H13" s="425">
        <v>7</v>
      </c>
      <c r="I13" s="425">
        <v>8</v>
      </c>
      <c r="J13" s="425">
        <v>9</v>
      </c>
    </row>
    <row r="14" spans="1:15">
      <c r="A14" s="517"/>
      <c r="B14" s="425" t="s">
        <v>962</v>
      </c>
      <c r="C14" s="425" t="s">
        <v>963</v>
      </c>
      <c r="D14" s="425" t="s">
        <v>964</v>
      </c>
      <c r="E14" s="425" t="s">
        <v>965</v>
      </c>
      <c r="F14" s="425" t="s">
        <v>966</v>
      </c>
      <c r="G14" s="425" t="s">
        <v>967</v>
      </c>
      <c r="H14" s="425" t="s">
        <v>968</v>
      </c>
      <c r="I14" s="425" t="s">
        <v>969</v>
      </c>
      <c r="J14" s="425" t="s">
        <v>970</v>
      </c>
    </row>
    <row r="15" spans="1:15">
      <c r="A15" s="518"/>
      <c r="B15" s="36">
        <f>IF(OR(海外居住者のための収入等申告書!$L$54&lt;B13,計算シート!$C$51=0),0,1)</f>
        <v>0</v>
      </c>
      <c r="C15" s="36">
        <f>IF(OR(海外居住者のための収入等申告書!$L$54&lt;C13,計算シート!$C$51=0),0,1)</f>
        <v>0</v>
      </c>
      <c r="D15" s="36">
        <f>IF(OR(海外居住者のための収入等申告書!$L$54&lt;D13,計算シート!$C$51=0),0,1)</f>
        <v>0</v>
      </c>
      <c r="E15" s="36">
        <f>IF(OR(海外居住者のための収入等申告書!$L$54&lt;E13,計算シート!$C$51=0),0,1)</f>
        <v>0</v>
      </c>
      <c r="F15" s="36">
        <f>IF(OR(海外居住者のための収入等申告書!$L$54&lt;F13,計算シート!$C$51=0),0,1)</f>
        <v>0</v>
      </c>
      <c r="G15" s="36">
        <f>IF(OR(海外居住者のための収入等申告書!$L$54&lt;G13,計算シート!$C$51=0),0,1)</f>
        <v>0</v>
      </c>
      <c r="H15" s="36">
        <f>IF(OR(海外居住者のための収入等申告書!$L$54&lt;H13,計算シート!$C$51=0),0,1)</f>
        <v>0</v>
      </c>
      <c r="I15" s="36">
        <f>IF(OR(海外居住者のための収入等申告書!$L$54&lt;I13,計算シート!$C$51=0),0,1)</f>
        <v>0</v>
      </c>
      <c r="J15" s="36">
        <f>IF(OR(海外居住者のための収入等申告書!$L$54&lt;J13,計算シート!$C$51=0),0,1)</f>
        <v>0</v>
      </c>
    </row>
    <row r="16" spans="1:15">
      <c r="A16" s="425" t="s">
        <v>166</v>
      </c>
      <c r="B16" s="513">
        <f>海外居住者のための収入等申告書!L83*VLOOKUP(海外居住者のための収入等申告書!L82,IF(計算シート!$C$50=1,前年レート!$N$12:$O$74,IF(計算シート!$C$50=2,当年レート!$N$12:$O$74,"")),2,0)</f>
        <v>0</v>
      </c>
      <c r="C16" s="513">
        <f>海外居住者のための収入等申告書!L89*VLOOKUP(海外居住者のための収入等申告書!L88,IF(計算シート!$C$50=1,前年レート!$N$12:$O$74,IF(計算シート!$C$50=2,当年レート!$N$12:$O$74,"")),2,0)</f>
        <v>0</v>
      </c>
      <c r="D16" s="513">
        <f>海外居住者のための収入等申告書!L95*VLOOKUP(海外居住者のための収入等申告書!L94,IF(計算シート!$C$50=1,前年レート!$N$12:$O$74,IF(計算シート!$C$50=2,当年レート!$N$12:$O$74,"")),2,0)</f>
        <v>0</v>
      </c>
      <c r="E16" s="513">
        <f>海外居住者のための収入等申告書!L101*VLOOKUP(海外居住者のための収入等申告書!L100,IF(計算シート!$C$50=1,前年レート!$N$12:$O$74,IF(計算シート!$C$50=2,当年レート!$N$12:$O$74,"")),2,0)</f>
        <v>0</v>
      </c>
      <c r="F16" s="513">
        <f>海外居住者のための収入等申告書!L107*VLOOKUP(海外居住者のための収入等申告書!L106,IF(計算シート!$C$50=1,前年レート!$N$12:$O$74,IF(計算シート!$C$50=2,当年レート!$N$12:$O$74,"")),2,0)</f>
        <v>0</v>
      </c>
      <c r="G16" s="513">
        <f>海外居住者のための収入等申告書!L113*VLOOKUP(海外居住者のための収入等申告書!L112,IF(計算シート!$C$50=1,前年レート!$N$12:$O$74,IF(計算シート!$C$50=2,当年レート!$N$12:$O$74,"")),2,0)</f>
        <v>0</v>
      </c>
      <c r="H16" s="513">
        <f>海外居住者のための収入等申告書!L119*VLOOKUP(海外居住者のための収入等申告書!L118,IF(計算シート!$C$50=1,前年レート!$N$12:$O$74,IF(計算シート!$C$50=2,当年レート!$N$12:$O$74,"")),2,0)</f>
        <v>0</v>
      </c>
      <c r="I16" s="513">
        <f>海外居住者のための収入等申告書!L125*VLOOKUP(海外居住者のための収入等申告書!L124,IF(計算シート!$C$50=1,前年レート!$N$12:$O$74,IF(計算シート!$C$50=2,当年レート!$N$12:$O$74,"")),2,0)</f>
        <v>0</v>
      </c>
      <c r="J16" s="513">
        <f>海外居住者のための収入等申告書!L131*VLOOKUP(海外居住者のための収入等申告書!L130,IF(計算シート!$C$50=1,前年レート!$N$12:$O$74,IF(計算シート!$C$50=2,当年レート!$N$12:$O$74,"")),2,0)</f>
        <v>0</v>
      </c>
    </row>
    <row r="17" spans="1:12">
      <c r="A17" s="425" t="s">
        <v>16</v>
      </c>
      <c r="B17" s="513">
        <f>MAX(IF(AND(計算シート!$C$51=1,B16&lt;T11所得区分!$B$32),B16-T12給与所得!$B$62,IF(B16&lt;T11所得区分!$B$16,T12給与所得!$B$2,IF(B16&lt;T11所得区分!$B$17,B16-T12給与所得!$B$13,IF(B16&lt;T11所得区分!$B$18,T12給与所得!$B$4,IF(B16&lt;T11所得区分!$B$19,T12給与所得!$B$5,IF(B16&lt;T11所得区分!$B$20,T12給与所得!$B$6,IF(B16&lt;T11所得区分!$B$21,T12給与所得!$B$7,IF(B16&lt;T11所得区分!$B$22,ROUNDDOWN(B16/4000,0)*4000*T12給与所得!$B$19-T12給与所得!$B$14,IF(B16&lt;T11所得区分!$B$23,ROUNDDOWN(B16/4000,0)*4000*T12給与所得!$B$20-T12給与所得!$B$15,IF(B16&lt;T11所得区分!$B$24,ROUNDDOWN(B16/4000,0)*4000*T12給与所得!$B$21-T12給与所得!$B$16,IF(B16&lt;T11所得区分!$B$25,B16*T12給与所得!$B$22-T12給与所得!$B$17,B16-T12給与所得!$B$18))))))))))),0)</f>
        <v>0</v>
      </c>
      <c r="C17" s="513">
        <f>MAX(IF(AND(計算シート!$C$51=1,C16&lt;T11所得区分!$B$32),C16-T12給与所得!$B$62,IF(C16&lt;T11所得区分!$B$16,T12給与所得!$B$2,IF(C16&lt;T11所得区分!$B$17,C16-T12給与所得!$B$13,IF(C16&lt;T11所得区分!$B$18,T12給与所得!$B$4,IF(C16&lt;T11所得区分!$B$19,T12給与所得!$B$5,IF(C16&lt;T11所得区分!$B$20,T12給与所得!$B$6,IF(C16&lt;T11所得区分!$B$21,T12給与所得!$B$7,IF(C16&lt;T11所得区分!$B$22,ROUNDDOWN(C16/4000,0)*4000*T12給与所得!$B$19-T12給与所得!$B$14,IF(C16&lt;T11所得区分!$B$23,ROUNDDOWN(C16/4000,0)*4000*T12給与所得!$B$20-T12給与所得!$B$15,IF(C16&lt;T11所得区分!$B$24,ROUNDDOWN(C16/4000,0)*4000*T12給与所得!$B$21-T12給与所得!$B$16,IF(C16&lt;T11所得区分!$B$25,C16*T12給与所得!$B$22-T12給与所得!$B$17,C16-T12給与所得!$B$18))))))))))),0)</f>
        <v>0</v>
      </c>
      <c r="D17" s="513">
        <f>MAX(IF(AND(計算シート!$C$51=1,D16&lt;T11所得区分!$B$32),D16-T12給与所得!$B$62,IF(D16&lt;T11所得区分!$B$16,T12給与所得!$B$2,IF(D16&lt;T11所得区分!$B$17,D16-T12給与所得!$B$13,IF(D16&lt;T11所得区分!$B$18,T12給与所得!$B$4,IF(D16&lt;T11所得区分!$B$19,T12給与所得!$B$5,IF(D16&lt;T11所得区分!$B$20,T12給与所得!$B$6,IF(D16&lt;T11所得区分!$B$21,T12給与所得!$B$7,IF(D16&lt;T11所得区分!$B$22,ROUNDDOWN(D16/4000,0)*4000*T12給与所得!$B$19-T12給与所得!$B$14,IF(D16&lt;T11所得区分!$B$23,ROUNDDOWN(D16/4000,0)*4000*T12給与所得!$B$20-T12給与所得!$B$15,IF(D16&lt;T11所得区分!$B$24,ROUNDDOWN(D16/4000,0)*4000*T12給与所得!$B$21-T12給与所得!$B$16,IF(D16&lt;T11所得区分!$B$25,D16*T12給与所得!$B$22-T12給与所得!$B$17,D16-T12給与所得!$B$18))))))))))),0)</f>
        <v>0</v>
      </c>
      <c r="E17" s="513">
        <f>MAX(IF(AND(計算シート!$C$51=1,E16&lt;T11所得区分!$B$32),E16-T12給与所得!$B$62,IF(E16&lt;T11所得区分!$B$16,T12給与所得!$B$2,IF(E16&lt;T11所得区分!$B$17,E16-T12給与所得!$B$13,IF(E16&lt;T11所得区分!$B$18,T12給与所得!$B$4,IF(E16&lt;T11所得区分!$B$19,T12給与所得!$B$5,IF(E16&lt;T11所得区分!$B$20,T12給与所得!$B$6,IF(E16&lt;T11所得区分!$B$21,T12給与所得!$B$7,IF(E16&lt;T11所得区分!$B$22,ROUNDDOWN(E16/4000,0)*4000*T12給与所得!$B$19-T12給与所得!$B$14,IF(E16&lt;T11所得区分!$B$23,ROUNDDOWN(E16/4000,0)*4000*T12給与所得!$B$20-T12給与所得!$B$15,IF(E16&lt;T11所得区分!$B$24,ROUNDDOWN(E16/4000,0)*4000*T12給与所得!$B$21-T12給与所得!$B$16,IF(E16&lt;T11所得区分!$B$25,E16*T12給与所得!$B$22-T12給与所得!$B$17,E16-T12給与所得!$B$18))))))))))),0)</f>
        <v>0</v>
      </c>
      <c r="F17" s="513">
        <f>MAX(IF(AND(計算シート!$C$51=1,F16&lt;T11所得区分!$B$32),F16-T12給与所得!$B$62,IF(F16&lt;T11所得区分!$B$16,T12給与所得!$B$2,IF(F16&lt;T11所得区分!$B$17,F16-T12給与所得!$B$13,IF(F16&lt;T11所得区分!$B$18,T12給与所得!$B$4,IF(F16&lt;T11所得区分!$B$19,T12給与所得!$B$5,IF(F16&lt;T11所得区分!$B$20,T12給与所得!$B$6,IF(F16&lt;T11所得区分!$B$21,T12給与所得!$B$7,IF(F16&lt;T11所得区分!$B$22,ROUNDDOWN(F16/4000,0)*4000*T12給与所得!$B$19-T12給与所得!$B$14,IF(F16&lt;T11所得区分!$B$23,ROUNDDOWN(F16/4000,0)*4000*T12給与所得!$B$20-T12給与所得!$B$15,IF(F16&lt;T11所得区分!$B$24,ROUNDDOWN(F16/4000,0)*4000*T12給与所得!$B$21-T12給与所得!$B$16,IF(F16&lt;T11所得区分!$B$25,F16*T12給与所得!$B$22-T12給与所得!$B$17,F16-T12給与所得!$B$18))))))))))),0)</f>
        <v>0</v>
      </c>
      <c r="G17" s="513">
        <f>MAX(IF(AND(計算シート!$C$51=1,G16&lt;T11所得区分!$B$32),G16-T12給与所得!$B$62,IF(G16&lt;T11所得区分!$B$16,T12給与所得!$B$2,IF(G16&lt;T11所得区分!$B$17,G16-T12給与所得!$B$13,IF(G16&lt;T11所得区分!$B$18,T12給与所得!$B$4,IF(G16&lt;T11所得区分!$B$19,T12給与所得!$B$5,IF(G16&lt;T11所得区分!$B$20,T12給与所得!$B$6,IF(G16&lt;T11所得区分!$B$21,T12給与所得!$B$7,IF(G16&lt;T11所得区分!$B$22,ROUNDDOWN(G16/4000,0)*4000*T12給与所得!$B$19-T12給与所得!$B$14,IF(G16&lt;T11所得区分!$B$23,ROUNDDOWN(G16/4000,0)*4000*T12給与所得!$B$20-T12給与所得!$B$15,IF(G16&lt;T11所得区分!$B$24,ROUNDDOWN(G16/4000,0)*4000*T12給与所得!$B$21-T12給与所得!$B$16,IF(G16&lt;T11所得区分!$B$25,G16*T12給与所得!$B$22-T12給与所得!$B$17,G16-T12給与所得!$B$18))))))))))),0)</f>
        <v>0</v>
      </c>
      <c r="H17" s="513">
        <f>MAX(IF(AND(計算シート!$C$51=1,H16&lt;T11所得区分!$B$32),H16-T12給与所得!$B$62,IF(H16&lt;T11所得区分!$B$16,T12給与所得!$B$2,IF(H16&lt;T11所得区分!$B$17,H16-T12給与所得!$B$13,IF(H16&lt;T11所得区分!$B$18,T12給与所得!$B$4,IF(H16&lt;T11所得区分!$B$19,T12給与所得!$B$5,IF(H16&lt;T11所得区分!$B$20,T12給与所得!$B$6,IF(H16&lt;T11所得区分!$B$21,T12給与所得!$B$7,IF(H16&lt;T11所得区分!$B$22,ROUNDDOWN(H16/4000,0)*4000*T12給与所得!$B$19-T12給与所得!$B$14,IF(H16&lt;T11所得区分!$B$23,ROUNDDOWN(H16/4000,0)*4000*T12給与所得!$B$20-T12給与所得!$B$15,IF(H16&lt;T11所得区分!$B$24,ROUNDDOWN(H16/4000,0)*4000*T12給与所得!$B$21-T12給与所得!$B$16,IF(H16&lt;T11所得区分!$B$25,H16*T12給与所得!$B$22-T12給与所得!$B$17,H16-T12給与所得!$B$18))))))))))),0)</f>
        <v>0</v>
      </c>
      <c r="I17" s="513">
        <f>MAX(IF(AND(計算シート!$C$51=1,I16&lt;T11所得区分!$B$32),I16-T12給与所得!$B$62,IF(I16&lt;T11所得区分!$B$16,T12給与所得!$B$2,IF(I16&lt;T11所得区分!$B$17,I16-T12給与所得!$B$13,IF(I16&lt;T11所得区分!$B$18,T12給与所得!$B$4,IF(I16&lt;T11所得区分!$B$19,T12給与所得!$B$5,IF(I16&lt;T11所得区分!$B$20,T12給与所得!$B$6,IF(I16&lt;T11所得区分!$B$21,T12給与所得!$B$7,IF(I16&lt;T11所得区分!$B$22,ROUNDDOWN(I16/4000,0)*4000*T12給与所得!$B$19-T12給与所得!$B$14,IF(I16&lt;T11所得区分!$B$23,ROUNDDOWN(I16/4000,0)*4000*T12給与所得!$B$20-T12給与所得!$B$15,IF(I16&lt;T11所得区分!$B$24,ROUNDDOWN(I16/4000,0)*4000*T12給与所得!$B$21-T12給与所得!$B$16,IF(I16&lt;T11所得区分!$B$25,I16*T12給与所得!$B$22-T12給与所得!$B$17,I16-T12給与所得!$B$18))))))))))),0)</f>
        <v>0</v>
      </c>
      <c r="J17" s="513">
        <f>MAX(IF(AND(計算シート!$C$51=1,J16&lt;T11所得区分!$B$32),J16-T12給与所得!$B$62,IF(J16&lt;T11所得区分!$B$16,T12給与所得!$B$2,IF(J16&lt;T11所得区分!$B$17,J16-T12給与所得!$B$13,IF(J16&lt;T11所得区分!$B$18,T12給与所得!$B$4,IF(J16&lt;T11所得区分!$B$19,T12給与所得!$B$5,IF(J16&lt;T11所得区分!$B$20,T12給与所得!$B$6,IF(J16&lt;T11所得区分!$B$21,T12給与所得!$B$7,IF(J16&lt;T11所得区分!$B$22,ROUNDDOWN(J16/4000,0)*4000*T12給与所得!$B$19-T12給与所得!$B$14,IF(J16&lt;T11所得区分!$B$23,ROUNDDOWN(J16/4000,0)*4000*T12給与所得!$B$20-T12給与所得!$B$15,IF(J16&lt;T11所得区分!$B$24,ROUNDDOWN(J16/4000,0)*4000*T12給与所得!$B$21-T12給与所得!$B$16,IF(J16&lt;T11所得区分!$B$25,J16*T12給与所得!$B$22-T12給与所得!$B$17,J16-T12給与所得!$B$18))))))))))),0)</f>
        <v>0</v>
      </c>
    </row>
    <row r="18" spans="1:12">
      <c r="A18" s="425" t="s">
        <v>216</v>
      </c>
      <c r="B18" s="513">
        <f>海外居住者のための収入等申告書!L85*VLOOKUP(海外居住者のための収入等申告書!L84,IF(計算シート!$C$50=1,前年レート!$N$12:$O$74,IF(計算シート!$C$50=2,当年レート!$N$12:$O$74,"")),2,0)</f>
        <v>0</v>
      </c>
      <c r="C18" s="513">
        <f>海外居住者のための収入等申告書!L91*VLOOKUP(海外居住者のための収入等申告書!L90,IF(計算シート!$C$50=1,前年レート!$N$12:$O$74,IF(計算シート!$C$50=2,当年レート!$N$12:$O$74,"")),2,0)</f>
        <v>0</v>
      </c>
      <c r="D18" s="513">
        <f>海外居住者のための収入等申告書!L97*VLOOKUP(海外居住者のための収入等申告書!L96,IF(計算シート!$C$50=1,前年レート!$N$12:$O$74,IF(計算シート!$C$50=2,当年レート!$N$12:$O$74,"")),2,0)</f>
        <v>0</v>
      </c>
      <c r="E18" s="513">
        <f>海外居住者のための収入等申告書!L103*VLOOKUP(海外居住者のための収入等申告書!L102,IF(計算シート!$C$50=1,前年レート!$N$12:$O$74,IF(計算シート!$C$50=2,当年レート!$N$12:$O$74,"")),2,0)</f>
        <v>0</v>
      </c>
      <c r="F18" s="513">
        <f>海外居住者のための収入等申告書!L109*VLOOKUP(海外居住者のための収入等申告書!L108,IF(計算シート!$C$50=1,前年レート!$N$12:$O$74,IF(計算シート!$C$50=2,当年レート!$N$12:$O$74,"")),2,0)</f>
        <v>0</v>
      </c>
      <c r="G18" s="513">
        <f>海外居住者のための収入等申告書!L115*VLOOKUP(海外居住者のための収入等申告書!L114,IF(計算シート!$C$50=1,前年レート!$N$12:$O$74,IF(計算シート!$C$50=2,当年レート!$N$12:$O$74,"")),2,0)</f>
        <v>0</v>
      </c>
      <c r="H18" s="513">
        <f>海外居住者のための収入等申告書!L121*VLOOKUP(海外居住者のための収入等申告書!L120,IF(計算シート!$C$50=1,前年レート!$N$12:$O$74,IF(計算シート!$C$50=2,当年レート!$N$12:$O$74,"")),2,0)</f>
        <v>0</v>
      </c>
      <c r="I18" s="513">
        <f>海外居住者のための収入等申告書!L127*VLOOKUP(海外居住者のための収入等申告書!L126,IF(計算シート!$C$50=1,前年レート!$N$12:$O$74,IF(計算シート!$C$50=2,当年レート!$N$12:$O$74,"")),2,0)</f>
        <v>0</v>
      </c>
      <c r="J18" s="513">
        <f>海外居住者のための収入等申告書!L133*VLOOKUP(海外居住者のための収入等申告書!L132,IF(計算シート!$C$50=1,前年レート!$N$12:$O$74,IF(計算シート!$C$50=2,当年レート!$N$12:$O$74,"")),2,0)</f>
        <v>0</v>
      </c>
    </row>
    <row r="19" spans="1:12" ht="13.8" thickBot="1">
      <c r="A19" s="519" t="s">
        <v>17</v>
      </c>
      <c r="B19" s="520">
        <f>ROUNDDOWN(B17+B18,0)</f>
        <v>0</v>
      </c>
      <c r="C19" s="520">
        <f t="shared" ref="C19:J19" si="3">ROUNDDOWN(C17+C18,0)</f>
        <v>0</v>
      </c>
      <c r="D19" s="520">
        <f t="shared" si="3"/>
        <v>0</v>
      </c>
      <c r="E19" s="520">
        <f t="shared" si="3"/>
        <v>0</v>
      </c>
      <c r="F19" s="520">
        <f t="shared" si="3"/>
        <v>0</v>
      </c>
      <c r="G19" s="520">
        <f t="shared" si="3"/>
        <v>0</v>
      </c>
      <c r="H19" s="520">
        <f t="shared" si="3"/>
        <v>0</v>
      </c>
      <c r="I19" s="520">
        <f t="shared" si="3"/>
        <v>0</v>
      </c>
      <c r="J19" s="520">
        <f t="shared" si="3"/>
        <v>0</v>
      </c>
    </row>
    <row r="20" spans="1:12" ht="13.8" thickTop="1">
      <c r="A20" s="518" t="s">
        <v>975</v>
      </c>
      <c r="B20" s="521">
        <f>IF(B19&lt;=T11所得区分!$B$31,1,0)*B15</f>
        <v>0</v>
      </c>
      <c r="C20" s="521">
        <f>IF(C19&lt;=T11所得区分!$B$31,1,0)*C15</f>
        <v>0</v>
      </c>
      <c r="D20" s="521">
        <f>IF(D19&lt;=T11所得区分!$B$31,1,0)*D15</f>
        <v>0</v>
      </c>
      <c r="E20" s="521">
        <f>IF(E19&lt;=T11所得区分!$B$31,1,0)*E15</f>
        <v>0</v>
      </c>
      <c r="F20" s="521">
        <f>IF(F19&lt;=T11所得区分!$B$31,1,0)*F15</f>
        <v>0</v>
      </c>
      <c r="G20" s="521">
        <f>IF(G19&lt;=T11所得区分!$B$31,1,0)*G15</f>
        <v>0</v>
      </c>
      <c r="H20" s="521">
        <f>IF(H19&lt;=T11所得区分!$B$31,1,0)*H15</f>
        <v>0</v>
      </c>
      <c r="I20" s="521">
        <f>IF(I19&lt;=T11所得区分!$B$31,1,0)*I15</f>
        <v>0</v>
      </c>
      <c r="J20" s="521">
        <f>IF(J19&lt;=T11所得区分!$B$31,1,0)*J15</f>
        <v>0</v>
      </c>
      <c r="K20" s="425" t="s">
        <v>1048</v>
      </c>
      <c r="L20" s="522">
        <f>SUM(B20:J20)</f>
        <v>0</v>
      </c>
    </row>
    <row r="21" spans="1:12">
      <c r="A21" s="425" t="s">
        <v>972</v>
      </c>
      <c r="B21" s="513">
        <f>IF(B19&lt;=950000,1,0)*(B15-B20)</f>
        <v>0</v>
      </c>
      <c r="C21" s="513">
        <f t="shared" ref="C21" si="4">IF(C19&lt;=950000,1,0)*(C15-C20)</f>
        <v>0</v>
      </c>
      <c r="D21" s="513">
        <f t="shared" ref="D21" si="5">IF(D19&lt;=950000,1,0)*(D15-D20)</f>
        <v>0</v>
      </c>
      <c r="E21" s="513">
        <f t="shared" ref="E21" si="6">IF(E19&lt;=950000,1,0)*(E15-E20)</f>
        <v>0</v>
      </c>
      <c r="F21" s="513">
        <f t="shared" ref="F21" si="7">IF(F19&lt;=950000,1,0)*(F15-F20)</f>
        <v>0</v>
      </c>
      <c r="G21" s="513">
        <f t="shared" ref="G21" si="8">IF(G19&lt;=950000,1,0)*(G15-G20)</f>
        <v>0</v>
      </c>
      <c r="H21" s="513">
        <f t="shared" ref="H21" si="9">IF(H19&lt;=950000,1,0)*(H15-H20)</f>
        <v>0</v>
      </c>
      <c r="I21" s="513">
        <f t="shared" ref="I21" si="10">IF(I19&lt;=950000,1,0)*(I15-I20)</f>
        <v>0</v>
      </c>
      <c r="J21" s="513">
        <f t="shared" ref="J21" si="11">IF(J19&lt;=950000,1,0)*(J15-J20)</f>
        <v>0</v>
      </c>
      <c r="K21" s="425" t="s">
        <v>1049</v>
      </c>
      <c r="L21" s="522">
        <f>SUM(B21:J21)</f>
        <v>0</v>
      </c>
    </row>
    <row r="22" spans="1:12">
      <c r="A22" s="425" t="s">
        <v>1069</v>
      </c>
      <c r="B22" s="513">
        <f>IFERROR(VLOOKUP(B19,$N$2:$O$9,2,TRUE),0)*(B15-B20)</f>
        <v>0</v>
      </c>
      <c r="C22" s="513">
        <f t="shared" ref="C22:J22" si="12">IFERROR(VLOOKUP(C19,$N$2:$O$9,2,TRUE),0)*(C15-C20)</f>
        <v>0</v>
      </c>
      <c r="D22" s="513">
        <f t="shared" si="12"/>
        <v>0</v>
      </c>
      <c r="E22" s="513">
        <f t="shared" si="12"/>
        <v>0</v>
      </c>
      <c r="F22" s="513">
        <f t="shared" si="12"/>
        <v>0</v>
      </c>
      <c r="G22" s="513">
        <f t="shared" si="12"/>
        <v>0</v>
      </c>
      <c r="H22" s="513">
        <f t="shared" si="12"/>
        <v>0</v>
      </c>
      <c r="I22" s="513">
        <f t="shared" si="12"/>
        <v>0</v>
      </c>
      <c r="J22" s="513">
        <f t="shared" si="12"/>
        <v>0</v>
      </c>
      <c r="K22" s="425" t="s">
        <v>977</v>
      </c>
      <c r="L22" s="522">
        <f>SUM(B22:J22)</f>
        <v>0</v>
      </c>
    </row>
    <row r="24" spans="1:12" ht="13.8" thickBot="1"/>
    <row r="25" spans="1:12" ht="13.8" thickBot="1">
      <c r="A25" s="516" t="s">
        <v>1050</v>
      </c>
      <c r="B25" s="314"/>
    </row>
    <row r="26" spans="1:12">
      <c r="A26" s="524" t="s">
        <v>353</v>
      </c>
      <c r="B26" s="513">
        <f>計算シート!$B$2</f>
        <v>125</v>
      </c>
    </row>
    <row r="27" spans="1:12">
      <c r="A27" s="425" t="s">
        <v>17</v>
      </c>
      <c r="B27" s="513">
        <f>ROUNDDOWN(計算シート!$B$8,0)</f>
        <v>0</v>
      </c>
    </row>
    <row r="28" spans="1:12" ht="13.8" thickBot="1">
      <c r="A28" s="525" t="s">
        <v>1055</v>
      </c>
      <c r="B28" s="526" t="str">
        <f>IF(海外居住者のための収入等申告書!F24="扶養されていない",IF(AND(計算シート!D1="生計維持者２",計算シート!C35&lt;計算シート!D35),"生計維持者２","生計維持者１"),海外居住者のための収入等申告書!F24)</f>
        <v>生計維持者１</v>
      </c>
    </row>
    <row r="29" spans="1:12" ht="13.8" thickTop="1">
      <c r="A29" s="518" t="s">
        <v>1051</v>
      </c>
      <c r="B29" s="521">
        <f>IF(AND(B26&gt;=19,B26&lt;=22,B27&gt;580000,B27&lt;=1230000),1,0)</f>
        <v>0</v>
      </c>
    </row>
    <row r="30" spans="1:12">
      <c r="A30" s="425" t="s">
        <v>972</v>
      </c>
      <c r="B30" s="513">
        <f>IF(AND(OR(B29=1,B32=1),B27&lt;=950000),1,0)</f>
        <v>0</v>
      </c>
    </row>
    <row r="31" spans="1:12">
      <c r="A31" s="425" t="s">
        <v>1069</v>
      </c>
      <c r="B31" s="513">
        <f>IFERROR(VLOOKUP(B27,$N$2:$O$9,2,TRUE),0)*B29</f>
        <v>0</v>
      </c>
    </row>
    <row r="32" spans="1:12">
      <c r="A32" s="425" t="s">
        <v>1053</v>
      </c>
      <c r="B32" s="556">
        <f>IF(AND(計算シート!C59=1,B27&gt;580000,B27&lt;=950000),1,0)</f>
        <v>0</v>
      </c>
    </row>
    <row r="33" spans="1:2">
      <c r="A33" s="425" t="s">
        <v>1054</v>
      </c>
      <c r="B33" s="556">
        <f>IF(B32=1,O2,0)</f>
        <v>0</v>
      </c>
    </row>
  </sheetData>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W2"/>
  <sheetViews>
    <sheetView topLeftCell="DR1" workbookViewId="0">
      <selection activeCell="H42" sqref="H42"/>
    </sheetView>
  </sheetViews>
  <sheetFormatPr defaultRowHeight="13.2"/>
  <cols>
    <col min="1" max="1" width="24.44140625" bestFit="1" customWidth="1"/>
  </cols>
  <sheetData>
    <row r="1" spans="1:153">
      <c r="A1" s="317" t="s">
        <v>661</v>
      </c>
      <c r="B1" s="308" t="s">
        <v>517</v>
      </c>
      <c r="C1" s="308" t="s">
        <v>518</v>
      </c>
      <c r="D1" s="308" t="s">
        <v>519</v>
      </c>
      <c r="E1" s="308" t="s">
        <v>520</v>
      </c>
      <c r="F1" s="308" t="s">
        <v>521</v>
      </c>
      <c r="G1" s="308" t="s">
        <v>522</v>
      </c>
      <c r="H1" s="308" t="s">
        <v>523</v>
      </c>
      <c r="I1" s="308" t="s">
        <v>524</v>
      </c>
      <c r="J1" s="308" t="s">
        <v>525</v>
      </c>
      <c r="K1" s="308" t="s">
        <v>526</v>
      </c>
      <c r="L1" s="308" t="s">
        <v>527</v>
      </c>
      <c r="M1" s="308" t="s">
        <v>528</v>
      </c>
      <c r="N1" s="308" t="s">
        <v>529</v>
      </c>
      <c r="O1" s="308" t="s">
        <v>530</v>
      </c>
      <c r="P1" s="308" t="s">
        <v>531</v>
      </c>
      <c r="Q1" s="308" t="s">
        <v>532</v>
      </c>
      <c r="R1" s="308" t="s">
        <v>533</v>
      </c>
      <c r="S1" s="309" t="s">
        <v>534</v>
      </c>
      <c r="T1" s="308" t="s">
        <v>535</v>
      </c>
      <c r="U1" s="308" t="s">
        <v>918</v>
      </c>
      <c r="V1" s="308" t="s">
        <v>536</v>
      </c>
      <c r="W1" s="308" t="s">
        <v>537</v>
      </c>
      <c r="X1" s="308" t="s">
        <v>538</v>
      </c>
      <c r="Y1" s="308" t="s">
        <v>539</v>
      </c>
      <c r="Z1" s="308" t="s">
        <v>540</v>
      </c>
      <c r="AA1" s="308" t="s">
        <v>541</v>
      </c>
      <c r="AB1" s="308" t="s">
        <v>542</v>
      </c>
      <c r="AC1" s="308" t="s">
        <v>543</v>
      </c>
      <c r="AD1" s="308" t="s">
        <v>544</v>
      </c>
      <c r="AE1" s="308" t="s">
        <v>545</v>
      </c>
      <c r="AF1" s="308" t="s">
        <v>546</v>
      </c>
      <c r="AG1" s="308" t="s">
        <v>547</v>
      </c>
      <c r="AH1" s="308" t="s">
        <v>548</v>
      </c>
      <c r="AI1" s="308" t="s">
        <v>549</v>
      </c>
      <c r="AJ1" s="308" t="s">
        <v>550</v>
      </c>
      <c r="AK1" s="308" t="s">
        <v>551</v>
      </c>
      <c r="AL1" s="308" t="s">
        <v>552</v>
      </c>
      <c r="AM1" s="308" t="s">
        <v>553</v>
      </c>
      <c r="AN1" s="308" t="s">
        <v>554</v>
      </c>
      <c r="AO1" s="308" t="s">
        <v>555</v>
      </c>
      <c r="AP1" s="308" t="s">
        <v>556</v>
      </c>
      <c r="AQ1" s="308" t="s">
        <v>557</v>
      </c>
      <c r="AR1" s="308" t="s">
        <v>558</v>
      </c>
      <c r="AS1" s="308" t="s">
        <v>559</v>
      </c>
      <c r="AT1" s="308" t="s">
        <v>560</v>
      </c>
      <c r="AU1" s="308" t="s">
        <v>561</v>
      </c>
      <c r="AV1" s="308" t="s">
        <v>562</v>
      </c>
      <c r="AW1" s="308" t="s">
        <v>563</v>
      </c>
      <c r="AX1" s="308" t="s">
        <v>564</v>
      </c>
      <c r="AY1" s="308" t="s">
        <v>565</v>
      </c>
      <c r="AZ1" s="309" t="s">
        <v>566</v>
      </c>
      <c r="BA1" s="308" t="s">
        <v>567</v>
      </c>
      <c r="BB1" s="308" t="s">
        <v>919</v>
      </c>
      <c r="BC1" s="308" t="s">
        <v>568</v>
      </c>
      <c r="BD1" s="308" t="s">
        <v>569</v>
      </c>
      <c r="BE1" s="308" t="s">
        <v>570</v>
      </c>
      <c r="BF1" s="308" t="s">
        <v>571</v>
      </c>
      <c r="BG1" s="308" t="s">
        <v>572</v>
      </c>
      <c r="BH1" s="308" t="s">
        <v>573</v>
      </c>
      <c r="BI1" s="308" t="s">
        <v>574</v>
      </c>
      <c r="BJ1" s="308" t="s">
        <v>575</v>
      </c>
      <c r="BK1" s="308" t="s">
        <v>576</v>
      </c>
      <c r="BL1" s="308" t="s">
        <v>577</v>
      </c>
      <c r="BM1" s="308" t="s">
        <v>578</v>
      </c>
      <c r="BN1" s="308" t="s">
        <v>579</v>
      </c>
      <c r="BO1" s="308" t="s">
        <v>580</v>
      </c>
      <c r="BP1" s="310" t="s">
        <v>581</v>
      </c>
      <c r="BQ1" s="310" t="s">
        <v>582</v>
      </c>
      <c r="BR1" s="310" t="s">
        <v>583</v>
      </c>
      <c r="BS1" s="310" t="s">
        <v>584</v>
      </c>
      <c r="BT1" s="310" t="s">
        <v>585</v>
      </c>
      <c r="BU1" s="310" t="s">
        <v>586</v>
      </c>
      <c r="BV1" s="310" t="s">
        <v>587</v>
      </c>
      <c r="BW1" s="310" t="s">
        <v>588</v>
      </c>
      <c r="BX1" s="310" t="s">
        <v>589</v>
      </c>
      <c r="BY1" s="310" t="s">
        <v>590</v>
      </c>
      <c r="BZ1" s="310" t="s">
        <v>591</v>
      </c>
      <c r="CA1" s="310" t="s">
        <v>592</v>
      </c>
      <c r="CB1" s="310" t="s">
        <v>593</v>
      </c>
      <c r="CC1" s="310" t="s">
        <v>594</v>
      </c>
      <c r="CD1" s="310" t="s">
        <v>595</v>
      </c>
      <c r="CE1" s="311" t="s">
        <v>596</v>
      </c>
      <c r="CF1" s="311" t="s">
        <v>597</v>
      </c>
      <c r="CG1" s="312" t="s">
        <v>598</v>
      </c>
      <c r="CH1" s="316" t="s">
        <v>599</v>
      </c>
      <c r="CI1" s="316" t="s">
        <v>600</v>
      </c>
      <c r="CJ1" s="316" t="s">
        <v>601</v>
      </c>
      <c r="CK1" s="316" t="s">
        <v>602</v>
      </c>
      <c r="CL1" s="316" t="s">
        <v>603</v>
      </c>
      <c r="CM1" s="316" t="s">
        <v>604</v>
      </c>
      <c r="CN1" s="308" t="s">
        <v>605</v>
      </c>
      <c r="CO1" s="308" t="s">
        <v>606</v>
      </c>
      <c r="CP1" s="308" t="s">
        <v>607</v>
      </c>
      <c r="CQ1" s="308" t="s">
        <v>608</v>
      </c>
      <c r="CR1" s="308" t="s">
        <v>609</v>
      </c>
      <c r="CS1" s="308" t="s">
        <v>610</v>
      </c>
      <c r="CT1" s="308" t="s">
        <v>611</v>
      </c>
      <c r="CU1" s="308" t="s">
        <v>612</v>
      </c>
      <c r="CV1" s="308" t="s">
        <v>613</v>
      </c>
      <c r="CW1" s="308" t="s">
        <v>614</v>
      </c>
      <c r="CX1" s="308" t="s">
        <v>615</v>
      </c>
      <c r="CY1" s="308" t="s">
        <v>616</v>
      </c>
      <c r="CZ1" s="308" t="s">
        <v>617</v>
      </c>
      <c r="DA1" s="308" t="s">
        <v>618</v>
      </c>
      <c r="DB1" s="308" t="s">
        <v>619</v>
      </c>
      <c r="DC1" s="308" t="s">
        <v>620</v>
      </c>
      <c r="DD1" s="308" t="s">
        <v>621</v>
      </c>
      <c r="DE1" s="309" t="s">
        <v>622</v>
      </c>
      <c r="DF1" s="308" t="s">
        <v>623</v>
      </c>
      <c r="DG1" s="308" t="s">
        <v>920</v>
      </c>
      <c r="DH1" s="308" t="s">
        <v>624</v>
      </c>
      <c r="DI1" s="308" t="s">
        <v>625</v>
      </c>
      <c r="DJ1" s="308" t="s">
        <v>626</v>
      </c>
      <c r="DK1" s="308" t="s">
        <v>627</v>
      </c>
      <c r="DL1" s="308" t="s">
        <v>628</v>
      </c>
      <c r="DM1" s="308" t="s">
        <v>629</v>
      </c>
      <c r="DN1" s="308" t="s">
        <v>630</v>
      </c>
      <c r="DO1" s="308" t="s">
        <v>631</v>
      </c>
      <c r="DP1" s="308" t="s">
        <v>632</v>
      </c>
      <c r="DQ1" s="308" t="s">
        <v>633</v>
      </c>
      <c r="DR1" s="308" t="s">
        <v>634</v>
      </c>
      <c r="DS1" s="308" t="s">
        <v>635</v>
      </c>
      <c r="DT1" s="308" t="s">
        <v>636</v>
      </c>
      <c r="DU1" s="310" t="s">
        <v>637</v>
      </c>
      <c r="DV1" s="310" t="s">
        <v>638</v>
      </c>
      <c r="DW1" s="310" t="s">
        <v>639</v>
      </c>
      <c r="DX1" s="310" t="s">
        <v>640</v>
      </c>
      <c r="DY1" s="310" t="s">
        <v>641</v>
      </c>
      <c r="DZ1" s="310" t="s">
        <v>642</v>
      </c>
      <c r="EA1" s="310" t="s">
        <v>643</v>
      </c>
      <c r="EB1" s="310" t="s">
        <v>644</v>
      </c>
      <c r="EC1" s="310" t="s">
        <v>645</v>
      </c>
      <c r="ED1" s="310" t="s">
        <v>646</v>
      </c>
      <c r="EE1" s="310" t="s">
        <v>647</v>
      </c>
      <c r="EF1" s="310" t="s">
        <v>648</v>
      </c>
      <c r="EG1" s="310" t="s">
        <v>649</v>
      </c>
      <c r="EH1" s="310" t="s">
        <v>650</v>
      </c>
      <c r="EI1" s="310" t="s">
        <v>651</v>
      </c>
      <c r="EJ1" s="311" t="s">
        <v>652</v>
      </c>
      <c r="EK1" s="311" t="s">
        <v>653</v>
      </c>
      <c r="EL1" s="312" t="s">
        <v>654</v>
      </c>
      <c r="EM1" s="316" t="s">
        <v>655</v>
      </c>
      <c r="EN1" s="316" t="s">
        <v>656</v>
      </c>
      <c r="EO1" s="316" t="s">
        <v>657</v>
      </c>
      <c r="EP1" s="316" t="s">
        <v>658</v>
      </c>
      <c r="EQ1" s="316" t="s">
        <v>659</v>
      </c>
      <c r="ER1" s="316" t="s">
        <v>660</v>
      </c>
      <c r="ES1" s="318" t="s">
        <v>736</v>
      </c>
      <c r="ET1" s="318" t="s">
        <v>737</v>
      </c>
      <c r="EU1" s="318" t="s">
        <v>738</v>
      </c>
      <c r="EV1" s="318" t="s">
        <v>917</v>
      </c>
      <c r="EW1" s="318" t="s">
        <v>739</v>
      </c>
    </row>
    <row r="2" spans="1:153">
      <c r="A2" t="str">
        <f>海外居住者のための収入等申告書!D11&amp;海外居住者のための収入等申告書!H11&amp;海外居住者のための収入等申告書!L11</f>
        <v/>
      </c>
      <c r="B2">
        <f ca="1">INDIRECT("計算シート!B"&amp;COLUMN(B1))</f>
        <v>125</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0</v>
      </c>
      <c r="T2">
        <f t="shared" ca="1" si="0"/>
        <v>260000</v>
      </c>
      <c r="U2">
        <f t="shared" ca="1" si="0"/>
        <v>0</v>
      </c>
      <c r="V2">
        <f t="shared" ca="1" si="0"/>
        <v>0</v>
      </c>
      <c r="W2">
        <f t="shared" ca="1" si="0"/>
        <v>430000</v>
      </c>
      <c r="X2">
        <f t="shared" ca="1" si="0"/>
        <v>0</v>
      </c>
      <c r="Y2">
        <f t="shared" ca="1" si="0"/>
        <v>0</v>
      </c>
      <c r="Z2">
        <f t="shared" ca="1" si="0"/>
        <v>450000</v>
      </c>
      <c r="AA2">
        <f t="shared" ca="1" si="0"/>
        <v>0</v>
      </c>
      <c r="AB2">
        <f t="shared" ca="1" si="0"/>
        <v>690000</v>
      </c>
      <c r="AC2">
        <f t="shared" ca="1" si="0"/>
        <v>0</v>
      </c>
      <c r="AD2">
        <f t="shared" ca="1" si="0"/>
        <v>0</v>
      </c>
      <c r="AE2">
        <f t="shared" ca="1" si="0"/>
        <v>0</v>
      </c>
      <c r="AF2">
        <f t="shared" ca="1" si="0"/>
        <v>60000</v>
      </c>
      <c r="AG2">
        <f t="shared" ca="1" si="0"/>
        <v>0</v>
      </c>
      <c r="AH2">
        <f t="shared" ca="1" si="0"/>
        <v>270000</v>
      </c>
      <c r="AI2">
        <f ca="1">INDIRECT("計算シート!c"&amp;COLUMN(AH1)-32)</f>
        <v>126</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330000</v>
      </c>
      <c r="AT2">
        <f t="shared" ca="1" si="1"/>
        <v>0</v>
      </c>
      <c r="AU2">
        <f t="shared" ca="1" si="1"/>
        <v>0</v>
      </c>
      <c r="AV2">
        <f t="shared" ca="1" si="1"/>
        <v>0</v>
      </c>
      <c r="AW2">
        <f t="shared" ca="1" si="1"/>
        <v>0</v>
      </c>
      <c r="AX2" t="e">
        <f t="shared" ca="1" si="1"/>
        <v>#N/A</v>
      </c>
      <c r="AY2" t="e">
        <f t="shared" ca="1" si="1"/>
        <v>#N/A</v>
      </c>
      <c r="AZ2" t="e">
        <f t="shared" ca="1" si="1"/>
        <v>#N/A</v>
      </c>
      <c r="BA2">
        <f t="shared" ca="1" si="1"/>
        <v>0</v>
      </c>
      <c r="BB2">
        <f t="shared" ca="1" si="1"/>
        <v>0</v>
      </c>
      <c r="BC2">
        <f t="shared" ca="1" si="1"/>
        <v>0</v>
      </c>
      <c r="BD2">
        <f t="shared" ca="1" si="1"/>
        <v>430000</v>
      </c>
      <c r="BE2">
        <f t="shared" ca="1" si="1"/>
        <v>2</v>
      </c>
      <c r="BF2">
        <f t="shared" ca="1" si="1"/>
        <v>0</v>
      </c>
      <c r="BG2">
        <f t="shared" ca="1" si="1"/>
        <v>1470000</v>
      </c>
      <c r="BH2">
        <f t="shared" ca="1" si="1"/>
        <v>0</v>
      </c>
      <c r="BI2" t="e">
        <f t="shared" ca="1" si="1"/>
        <v>#N/A</v>
      </c>
      <c r="BJ2" t="e">
        <f t="shared" ca="1" si="1"/>
        <v>#N/A</v>
      </c>
      <c r="BK2" t="e">
        <f t="shared" ca="1" si="1"/>
        <v>#N/A</v>
      </c>
      <c r="BL2">
        <f t="shared" ca="1" si="1"/>
        <v>100000</v>
      </c>
      <c r="BM2" t="e">
        <f t="shared" ca="1" si="1"/>
        <v>#N/A</v>
      </c>
      <c r="BN2" t="e">
        <f t="shared" ca="1" si="1"/>
        <v>#N/A</v>
      </c>
      <c r="BO2" t="e">
        <f t="shared" ca="1" si="1"/>
        <v>#N/A</v>
      </c>
      <c r="BP2" t="str">
        <f t="shared" ca="1" si="1"/>
        <v>エラー</v>
      </c>
      <c r="BQ2">
        <f t="shared" ca="1" si="1"/>
        <v>0</v>
      </c>
      <c r="BR2">
        <f t="shared" ca="1" si="1"/>
        <v>1</v>
      </c>
      <c r="BS2">
        <f t="shared" ca="1" si="1"/>
        <v>0</v>
      </c>
      <c r="BT2">
        <f t="shared" ca="1" si="1"/>
        <v>0</v>
      </c>
      <c r="BU2">
        <f t="shared" ca="1" si="1"/>
        <v>0</v>
      </c>
      <c r="BV2">
        <f t="shared" ca="1" si="1"/>
        <v>0</v>
      </c>
      <c r="BW2">
        <f t="shared" ca="1" si="1"/>
        <v>0</v>
      </c>
      <c r="BX2">
        <f t="shared" ca="1" si="1"/>
        <v>0</v>
      </c>
      <c r="BY2">
        <f t="shared" ca="1" si="1"/>
        <v>1</v>
      </c>
      <c r="BZ2">
        <f t="shared" ca="1" si="1"/>
        <v>2026</v>
      </c>
      <c r="CA2">
        <f t="shared" ca="1" si="1"/>
        <v>1</v>
      </c>
      <c r="CB2">
        <f t="shared" ca="1" si="1"/>
        <v>46023</v>
      </c>
      <c r="CC2">
        <f t="shared" ca="1" si="1"/>
        <v>2024</v>
      </c>
      <c r="CD2">
        <f t="shared" ca="1" si="1"/>
        <v>2025</v>
      </c>
      <c r="CE2">
        <f t="shared" ca="1" si="1"/>
        <v>2</v>
      </c>
      <c r="CF2">
        <f t="shared" ca="1" si="1"/>
        <v>1</v>
      </c>
      <c r="CG2">
        <f t="shared" ca="1" si="1"/>
        <v>0</v>
      </c>
      <c r="CH2">
        <f t="shared" ca="1" si="1"/>
        <v>0</v>
      </c>
      <c r="CI2">
        <f t="shared" ca="1" si="1"/>
        <v>0</v>
      </c>
      <c r="CJ2">
        <f t="shared" ca="1" si="1"/>
        <v>0</v>
      </c>
      <c r="CK2">
        <f t="shared" ca="1" si="1"/>
        <v>1</v>
      </c>
      <c r="CL2">
        <f t="shared" ca="1" si="1"/>
        <v>125</v>
      </c>
      <c r="CM2">
        <f t="shared" ca="1" si="1"/>
        <v>1000</v>
      </c>
      <c r="CN2">
        <f ca="1">INDIRECT("計算シート!d"&amp;COLUMN(CM1)-89)</f>
        <v>126</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t="e">
        <f t="shared" ca="1" si="2"/>
        <v>#N/A</v>
      </c>
      <c r="DD2" t="e">
        <f t="shared" ca="1" si="2"/>
        <v>#N/A</v>
      </c>
      <c r="DE2">
        <f t="shared" ca="1" si="2"/>
        <v>0</v>
      </c>
      <c r="DF2">
        <f t="shared" ca="1" si="2"/>
        <v>0</v>
      </c>
      <c r="DG2">
        <f t="shared" ca="1" si="2"/>
        <v>0</v>
      </c>
      <c r="DH2">
        <f t="shared" ca="1" si="2"/>
        <v>0</v>
      </c>
      <c r="DI2">
        <f t="shared" ca="1" si="2"/>
        <v>430000</v>
      </c>
      <c r="DJ2">
        <f t="shared" ca="1" si="2"/>
        <v>0</v>
      </c>
      <c r="DK2">
        <f t="shared" ca="1" si="2"/>
        <v>0</v>
      </c>
      <c r="DL2">
        <f t="shared" ca="1" si="2"/>
        <v>450000</v>
      </c>
      <c r="DM2" t="e">
        <f t="shared" ca="1" si="2"/>
        <v>#N/A</v>
      </c>
      <c r="DN2" t="e">
        <f t="shared" ca="1" si="2"/>
        <v>#N/A</v>
      </c>
      <c r="DO2" t="e">
        <f t="shared" ca="1" si="2"/>
        <v>#N/A</v>
      </c>
      <c r="DP2" t="e">
        <f t="shared" ca="1" si="2"/>
        <v>#N/A</v>
      </c>
      <c r="DQ2">
        <f t="shared" ca="1" si="2"/>
        <v>0</v>
      </c>
      <c r="DR2" t="e">
        <f t="shared" ca="1" si="2"/>
        <v>#N/A</v>
      </c>
      <c r="DS2" t="e">
        <f t="shared" ca="1" si="2"/>
        <v>#N/A</v>
      </c>
      <c r="DT2" t="e">
        <f t="shared" ca="1" si="2"/>
        <v>#N/A</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t="str">
        <f>計算シート!C63</f>
        <v>エラー</v>
      </c>
      <c r="ET2">
        <f>計算シート!D63</f>
        <v>0</v>
      </c>
      <c r="EU2">
        <f>計算シート!C66</f>
        <v>0</v>
      </c>
      <c r="EV2">
        <f>計算シート!C67</f>
        <v>0</v>
      </c>
      <c r="EW2" t="e">
        <f>計算シート!C68</f>
        <v>#N/A</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計算シート2(特定親族)</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海外居住者のための収入基準額算定ツール_202505</dc:title>
  <dc:creator>JASSO</dc:creator>
  <cp:lastPrinted>2025-03-13T01:24:59Z</cp:lastPrinted>
  <dcterms:created xsi:type="dcterms:W3CDTF">2006-09-16T00:00:00Z</dcterms:created>
  <dcterms:modified xsi:type="dcterms:W3CDTF">2026-04-27T07:02:26Z</dcterms:modified>
</cp:coreProperties>
</file>