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gakushitaiyoka\採用係\38_HP更新\20250411選考結果について(一般)\貸与選考結果について\"/>
    </mc:Choice>
  </mc:AlternateContent>
  <bookViews>
    <workbookView xWindow="0" yWindow="0" windowWidth="15360" windowHeight="6615"/>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入力シート!$A$1:$H$42</definedName>
    <definedName name="_xlnm.Print_Area" localSheetId="1">入力例!$A$1:$V$42</definedName>
  </definedNames>
  <calcPr calcId="162913"/>
</workbook>
</file>

<file path=xl/calcChain.xml><?xml version="1.0" encoding="utf-8"?>
<calcChain xmlns="http://schemas.openxmlformats.org/spreadsheetml/2006/main">
  <c r="G1" i="2" l="1"/>
  <c r="B46" i="5" l="1"/>
  <c r="B2" i="5" l="1"/>
  <c r="B35" i="5"/>
  <c r="O5" i="4"/>
  <c r="D14" i="2"/>
  <c r="B13" i="2"/>
  <c r="B10" i="2"/>
  <c r="F17" i="2"/>
  <c r="E17" i="2"/>
  <c r="G1" i="6"/>
  <c r="V1" i="6" s="1"/>
  <c r="B37" i="5" l="1"/>
  <c r="B4" i="5" l="1"/>
  <c r="C40" i="2" l="1"/>
  <c r="C38" i="2"/>
  <c r="C39" i="2"/>
  <c r="B6" i="5"/>
  <c r="B5" i="5"/>
  <c r="F10" i="2" l="1"/>
  <c r="B30" i="5" l="1"/>
  <c r="B3" i="5" l="1"/>
  <c r="B38" i="5" l="1"/>
  <c r="F13" i="2"/>
  <c r="F9" i="2"/>
  <c r="F8" i="2"/>
  <c r="B27" i="5"/>
  <c r="D18" i="5"/>
  <c r="C18" i="5"/>
  <c r="B18" i="5"/>
  <c r="D20" i="2" l="1"/>
  <c r="B7" i="5" l="1"/>
  <c r="B8" i="5" s="1"/>
  <c r="B51" i="5" s="1"/>
  <c r="B52" i="5" s="1"/>
  <c r="D17" i="5"/>
  <c r="C17" i="5"/>
  <c r="B17" i="5"/>
  <c r="D14" i="5"/>
  <c r="C14" i="5"/>
  <c r="B14" i="5"/>
  <c r="D11" i="5"/>
  <c r="C11" i="5"/>
  <c r="B11" i="5"/>
  <c r="D10" i="5"/>
  <c r="C10" i="5"/>
  <c r="B10" i="5"/>
  <c r="B16" i="2" l="1"/>
  <c r="F12" i="2"/>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<sst xmlns="http://schemas.openxmlformats.org/spreadsheetml/2006/main" count="316" uniqueCount="203">
  <si>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</si>
  <si>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</si>
  <si>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</si>
  <si>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</si>
  <si>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</si>
  <si>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</si>
  <si>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</si>
  <si>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</si>
  <si>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</si>
  <si>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</si>
  <si>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</si>
  <si>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</si>
  <si>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</si>
  <si>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</si>
  <si>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</si>
  <si>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</si>
  <si>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</si>
  <si>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</si>
  <si>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</si>
  <si>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</si>
  <si>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</si>
  <si>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</si>
  <si>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</si>
  <si>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</si>
  <si>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</si>
  <si>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</si>
  <si>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</si>
  <si>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</si>
  <si>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</si>
  <si>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</si>
  <si>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</si>
  <si>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</si>
  <si>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</si>
  <si>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</si>
  <si>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</si>
  <si>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</si>
  <si>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</si>
  <si>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</si>
  <si>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</si>
  <si>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</si>
  <si>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</si>
  <si>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</si>
  <si>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</si>
  <si>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</si>
  <si>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</si>
  <si>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</si>
  <si>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</si>
  <si>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</si>
  <si>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</si>
  <si>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</si>
  <si>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</si>
  <si>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</si>
  <si>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</si>
  <si>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</si>
  <si>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</si>
  <si>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</si>
  <si>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</si>
  <si>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</si>
  <si>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</si>
  <si>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</si>
  <si>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</si>
  <si>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</si>
  <si>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</si>
  <si>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</si>
  <si>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</si>
  <si>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</si>
  <si>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</si>
  <si>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</si>
  <si>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</si>
  <si>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</si>
  <si>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</si>
  <si>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</si>
  <si>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</si>
  <si>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</si>
  <si>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</si>
  <si>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</si>
  <si>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</si>
  <si>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</si>
  <si>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</si>
  <si>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</si>
  <si>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</si>
  <si>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</si>
  <si>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</si>
  <si>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</si>
  <si>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</si>
  <si>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</si>
  <si>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</si>
  <si>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</si>
  <si>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</si>
  <si>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</si>
  <si>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</si>
  <si>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</si>
  <si>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</si>
  <si>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</si>
  <si>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</si>
  <si>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</si>
  <si>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</si>
  <si>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</si>
  <si>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</si>
  <si>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</si>
  <si>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</si>
  <si>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</si>
  <si>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</si>
  <si>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</si>
  <si>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</si>
  <si>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</si>
  <si>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</si>
  <si>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</si>
  <si>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</si>
  <si>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</si>
  <si>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</si>
  <si>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</si>
  <si>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</si>
  <si>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</si>
  <si>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</si>
  <si>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</si>
  <si>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</si>
  <si>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</si>
  <si>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</si>
  <si>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</si>
  <si>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</si>
  <si>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</si>
  <si>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</si>
  <si>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</si>
  <si>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</si>
  <si>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</si>
  <si>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</si>
  <si>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</si>
  <si>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</si>
  <si>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</si>
  <si>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</si>
  <si>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</si>
  <si>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</si>
  <si>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</si>
  <si>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支給額算定基準額・貸与額算定基準額判定ツール</t>
    <rPh sb="0" eb="8">
      <t>シキュウガクサンテイキジュンガク</t>
    </rPh>
    <rPh sb="9" eb="11">
      <t>タイヨ</t>
    </rPh>
    <rPh sb="11" eb="12">
      <t>ガク</t>
    </rPh>
    <rPh sb="12" eb="14">
      <t>サンテイ</t>
    </rPh>
    <rPh sb="14" eb="16">
      <t>キジュン</t>
    </rPh>
    <rPh sb="16" eb="17">
      <t>ガク</t>
    </rPh>
    <rPh sb="17" eb="19">
      <t>ハンテイ</t>
    </rPh>
    <phoneticPr fontId="1"/>
  </si>
  <si>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</si>
  <si>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</si>
  <si>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</si>
  <si>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</si>
  <si>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</si>
  <si>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</si>
  <si>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</si>
  <si>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</si>
  <si>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</si>
  <si>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</si>
  <si>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</si>
  <si>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</si>
  <si>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</si>
  <si>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</si>
  <si>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</si>
  <si>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</si>
  <si>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</si>
  <si>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</si>
  <si>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</si>
  <si>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</si>
  <si>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</si>
  <si>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</si>
  <si>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</si>
  <si>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</si>
  <si>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</si>
  <si>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r>
      <t>このツールは、課税証明書（所得証明書）をお持ちで、正確に支給額算定基準額や</t>
    </r>
    <r>
      <rPr>
        <sz val="11"/>
        <color theme="1"/>
        <rFont val="ＭＳ Ｐゴシック"/>
        <family val="3"/>
        <charset val="128"/>
        <scheme val="minor"/>
      </rPr>
      <t>貸与額算定基準額を</t>
    </r>
    <rPh sb="7" eb="9">
      <t>カゼイ</t>
    </rPh>
    <rPh sb="9" eb="12">
      <t>ショウメイショ</t>
    </rPh>
    <rPh sb="13" eb="15">
      <t>ショトク</t>
    </rPh>
    <rPh sb="15" eb="18">
      <t>ショウメイショ</t>
    </rPh>
    <rPh sb="21" eb="22">
      <t>モ</t>
    </rPh>
    <rPh sb="25" eb="27">
      <t>セイカク</t>
    </rPh>
    <rPh sb="28" eb="36">
      <t>シキュウガクサンテイキジュンガク</t>
    </rPh>
    <rPh sb="37" eb="39">
      <t>タイヨ</t>
    </rPh>
    <rPh sb="39" eb="40">
      <t>ガク</t>
    </rPh>
    <rPh sb="40" eb="42">
      <t>サンテイ</t>
    </rPh>
    <rPh sb="42" eb="44">
      <t>キジュン</t>
    </rPh>
    <rPh sb="44" eb="45">
      <t>ガク</t>
    </rPh>
    <phoneticPr fontId="1"/>
  </si>
  <si>
    <t>把握されたい方のために用意されたものです。入力にあたっては、別シート「入力例」もご覧ください。</t>
    <rPh sb="21" eb="23">
      <t>ニュウリョク</t>
    </rPh>
    <rPh sb="30" eb="31">
      <t>ベツ</t>
    </rPh>
    <rPh sb="35" eb="37">
      <t>ニュウリョク</t>
    </rPh>
    <rPh sb="37" eb="38">
      <t>レイ</t>
    </rPh>
    <rPh sb="41" eb="42">
      <t>ラン</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</si>
  <si>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</si>
  <si>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</si>
  <si>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</si>
  <si>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</si>
  <si>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</si>
  <si>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</si>
  <si>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支給額算定基準額・貸与額算定基準額判定ツール</t>
  </si>
  <si>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</si>
  <si>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</si>
  <si>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</si>
  <si>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</si>
  <si>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</si>
  <si>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</si>
  <si>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</si>
  <si>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</si>
  <si>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</si>
  <si>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</si>
  <si>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</si>
  <si>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</si>
  <si>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</si>
  <si>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</si>
  <si>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</si>
  <si>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</si>
  <si>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</si>
  <si>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</si>
  <si>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</si>
  <si>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</si>
  <si>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</si>
  <si>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</si>
  <si>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</si>
  <si>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</si>
  <si>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</si>
  <si>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t>アローアンス文言修正</t>
    <rPh sb="6" eb="8">
      <t>モンゴン</t>
    </rPh>
    <rPh sb="8" eb="10">
      <t>シュウセイ</t>
    </rPh>
    <phoneticPr fontId="1"/>
  </si>
  <si>
    <t>修学支援新制度拡充対応</t>
    <rPh sb="0" eb="7">
      <t>シュウガクシエンシンセイド</t>
    </rPh>
    <rPh sb="7" eb="9">
      <t>カクジュウ</t>
    </rPh>
    <rPh sb="9" eb="11">
      <t>タイオウ</t>
    </rPh>
    <phoneticPr fontId="1"/>
  </si>
  <si>
    <t>多子世帯表示</t>
    <rPh sb="0" eb="2">
      <t>タシ</t>
    </rPh>
    <rPh sb="2" eb="4">
      <t>セタイ</t>
    </rPh>
    <rPh sb="4" eb="6">
      <t>ヒョウジ</t>
    </rPh>
    <phoneticPr fontId="1"/>
  </si>
  <si>
    <t>給付奨学金</t>
  </si>
  <si>
    <t>多子拡充フラグ</t>
    <rPh sb="0" eb="2">
      <t>タシ</t>
    </rPh>
    <rPh sb="2" eb="4">
      <t>カクジュウ</t>
    </rPh>
    <phoneticPr fontId="1"/>
  </si>
  <si>
    <t>寡婦</t>
    <rPh sb="0" eb="2">
      <t>カフ</t>
    </rPh>
    <phoneticPr fontId="1"/>
  </si>
  <si>
    <r>
      <t>ツール入力項目等との対応関係を</t>
    </r>
    <r>
      <rPr>
        <sz val="11"/>
        <color rgb="FFFF0000"/>
        <rFont val="ＭＳ Ｐゴシック"/>
        <family val="3"/>
        <charset val="128"/>
        <scheme val="minor"/>
      </rPr>
      <t>赤色()</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アカイロ</t>
    </rPh>
    <rPh sb="19" eb="20">
      <t>ナイ</t>
    </rPh>
    <rPh sb="21" eb="23">
      <t>スウジ</t>
    </rPh>
    <rPh sb="24" eb="26">
      <t>セツメイ</t>
    </rPh>
    <phoneticPr fontId="1"/>
  </si>
  <si>
    <r>
      <t>・本ツールに正確に情報を入力するには、申込者</t>
    </r>
    <r>
      <rPr>
        <sz val="11"/>
        <rFont val="ＭＳ Ｐゴシック"/>
        <family val="3"/>
        <charset val="128"/>
        <scheme val="minor"/>
      </rPr>
      <t>（大学院で配偶者がいる場合、配偶者も含む）や生計維持者それぞれの、市町村民税の課税証明書（自治体によっては「所得証明書」。以下同様。）又はマイナポータルにログインしていただき取得していただいた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</si>
  <si>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r>
      <t>【各項目の説明】
１．(1)奨学金に申請した年度を入力します。給付奨学金の経済基準の適格認定に関しては、適格認定を行う年度になります。
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※本ツールは、緊急・応急採用、家計急変採用、海外留学を対象とした奨学金には対応していません。
３．(3)「第一種奨学金」「第二種奨学金」「第一種と第二種の両方」（以上は貸与奨学金です。）「給付奨学金」の中から、申請した種類を選びます。このとき、</t>
    </r>
    <r>
      <rPr>
        <sz val="11"/>
        <rFont val="ＭＳ Ｐゴシック"/>
        <family val="3"/>
        <charset val="128"/>
        <scheme val="minor"/>
      </rPr>
      <t>（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また、給付奨学金・独立生計以外の場合には、(10)で申込者本人が扶養されていたかも選びます。</t>
    </r>
    <r>
      <rPr>
        <sz val="9"/>
        <rFont val="ＭＳ Ｐゴシック"/>
        <family val="3"/>
        <charset val="128"/>
        <scheme val="minor"/>
      </rPr>
      <t>【この判定は、最終的には機構が行います。】</t>
    </r>
    <r>
      <rPr>
        <sz val="11"/>
        <rFont val="ＭＳ Ｐゴシック"/>
        <family val="3"/>
        <charset val="128"/>
        <scheme val="minor"/>
      </rPr>
      <t xml:space="preserve">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10．(18)課税証明書に記載されている方がその税の年度の初日の属する年の１月１日に生活扶助を受給している場合、その旨を選択します。
11．(19)課税証明書の「繰越控除」を入力します。証明書上に存在しない場合、「合計所得金額」から「総所得金額等」を引いた額を入力します。
12．(20)課税証明書で「配偶者控除」に該当している場合、その旨を選択します。（「配偶者特別控除」は関係しません。）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(29)ここに計算過程及び計算結果が表示されます。貸与奨学金の場合は貸与額算定基準額及び希望する奨学金の家計基準の適格有無が、給付奨学金の場合は該当する支援区分が表示されます。
19．大学院の申し込みの場合、(2)で大学院から始まる申込の区分を選択します。その際、(30)で修士課程か博士課程かを選択します。
また、大学院の場合、生計維持者ではなく申込者本人及びその配偶者（いる場合のみ）の所得等の情報を入力してください。なお、大学院修士段階における授業料後払い制度の基準は、第一種奨学金と同じです。</t>
    </r>
    <rPh sb="177" eb="180">
      <t>ダイガクイン</t>
    </rPh>
    <rPh sb="181" eb="182">
      <t>ノゾ</t>
    </rPh>
    <rPh sb="313" eb="320">
      <t>ダイガクトウヨヤクサイヨウ</t>
    </rPh>
    <rPh sb="321" eb="323">
      <t>イガイ</t>
    </rPh>
    <rPh sb="379" eb="381">
      <t>センタク</t>
    </rPh>
    <rPh sb="382" eb="383">
      <t>カカ</t>
    </rPh>
    <rPh sb="678" eb="680">
      <t>イガイ</t>
    </rPh>
    <rPh sb="714" eb="716">
      <t>ハンテイ</t>
    </rPh>
    <rPh sb="718" eb="721">
      <t>サイシュウテキ</t>
    </rPh>
    <rPh sb="723" eb="725">
      <t>キコウ</t>
    </rPh>
    <rPh sb="726" eb="727">
      <t>オコナ</t>
    </rPh>
    <rPh sb="820" eb="822">
      <t>バアイ</t>
    </rPh>
    <rPh sb="823" eb="826">
      <t>ハイグウシャ</t>
    </rPh>
    <rPh sb="826" eb="827">
      <t>ラン</t>
    </rPh>
    <rPh sb="828" eb="830">
      <t>ヒョウジ</t>
    </rPh>
    <rPh sb="1439" eb="1441">
      <t>キュウフ</t>
    </rPh>
    <rPh sb="1441" eb="1444">
      <t>ショウガクキン</t>
    </rPh>
    <rPh sb="1445" eb="1447">
      <t>バアイ</t>
    </rPh>
    <rPh sb="1565" eb="1567">
      <t>イジョウ</t>
    </rPh>
    <rPh sb="1596" eb="1598">
      <t>ケイサン</t>
    </rPh>
    <rPh sb="1598" eb="1600">
      <t>カテイ</t>
    </rPh>
    <rPh sb="1600" eb="1601">
      <t>オヨ</t>
    </rPh>
    <rPh sb="1602" eb="1604">
      <t>ケイサン</t>
    </rPh>
    <rPh sb="1614" eb="1616">
      <t>タイヨ</t>
    </rPh>
    <rPh sb="1616" eb="1619">
      <t>ショウガクキン</t>
    </rPh>
    <rPh sb="1620" eb="1622">
      <t>バアイ</t>
    </rPh>
    <rPh sb="1623" eb="1631">
      <t>タイヨガクサンテイキジュンガク</t>
    </rPh>
    <rPh sb="1631" eb="1632">
      <t>オヨ</t>
    </rPh>
    <rPh sb="1633" eb="1635">
      <t>キボウ</t>
    </rPh>
    <rPh sb="1637" eb="1640">
      <t>ショウガクキン</t>
    </rPh>
    <rPh sb="1641" eb="1643">
      <t>カケイ</t>
    </rPh>
    <rPh sb="1643" eb="1645">
      <t>キジュン</t>
    </rPh>
    <rPh sb="1646" eb="1648">
      <t>テキカク</t>
    </rPh>
    <rPh sb="1648" eb="1650">
      <t>ウム</t>
    </rPh>
    <rPh sb="1652" eb="1654">
      <t>キュウフ</t>
    </rPh>
    <rPh sb="1654" eb="1657">
      <t>ショウガクキン</t>
    </rPh>
    <rPh sb="1658" eb="1660">
      <t>バアイ</t>
    </rPh>
    <rPh sb="1661" eb="1663">
      <t>ガイトウ</t>
    </rPh>
    <rPh sb="1665" eb="1667">
      <t>シエン</t>
    </rPh>
    <rPh sb="1667" eb="1669">
      <t>クブン</t>
    </rPh>
    <rPh sb="1670" eb="1672">
      <t>ヒョウジ</t>
    </rPh>
    <rPh sb="1681" eb="1684">
      <t>ダイガクイン</t>
    </rPh>
    <rPh sb="1685" eb="1686">
      <t>モウ</t>
    </rPh>
    <rPh sb="1687" eb="1688">
      <t>コ</t>
    </rPh>
    <rPh sb="1690" eb="1692">
      <t>バアイ</t>
    </rPh>
    <rPh sb="1697" eb="1700">
      <t>ダイガクイン</t>
    </rPh>
    <rPh sb="1702" eb="1703">
      <t>ハジ</t>
    </rPh>
    <rPh sb="1705" eb="1707">
      <t>モウシコミ</t>
    </rPh>
    <rPh sb="1708" eb="1710">
      <t>クブン</t>
    </rPh>
    <rPh sb="1711" eb="1713">
      <t>センタク</t>
    </rPh>
    <rPh sb="1719" eb="1720">
      <t>サイ</t>
    </rPh>
    <rPh sb="1726" eb="1728">
      <t>シュウシ</t>
    </rPh>
    <rPh sb="1728" eb="1730">
      <t>カテイ</t>
    </rPh>
    <rPh sb="1731" eb="1733">
      <t>ハクシ</t>
    </rPh>
    <rPh sb="1733" eb="1735">
      <t>カテイ</t>
    </rPh>
    <rPh sb="1737" eb="1739">
      <t>センタク</t>
    </rPh>
    <rPh sb="1747" eb="1750">
      <t>ダイガクイン</t>
    </rPh>
    <rPh sb="1751" eb="1753">
      <t>バアイ</t>
    </rPh>
    <rPh sb="1754" eb="1756">
      <t>セイケイ</t>
    </rPh>
    <rPh sb="1756" eb="1758">
      <t>イジ</t>
    </rPh>
    <rPh sb="1758" eb="1759">
      <t>シャ</t>
    </rPh>
    <rPh sb="1763" eb="1765">
      <t>モウシコミ</t>
    </rPh>
    <rPh sb="1765" eb="1766">
      <t>シャ</t>
    </rPh>
    <rPh sb="1766" eb="1768">
      <t>ホンニン</t>
    </rPh>
    <rPh sb="1768" eb="1769">
      <t>オヨ</t>
    </rPh>
    <rPh sb="1772" eb="1775">
      <t>ハイグウシャ</t>
    </rPh>
    <rPh sb="1778" eb="1780">
      <t>バアイ</t>
    </rPh>
    <rPh sb="1784" eb="1786">
      <t>ショトク</t>
    </rPh>
    <rPh sb="1786" eb="1787">
      <t>トウ</t>
    </rPh>
    <rPh sb="1788" eb="1790">
      <t>ジョウホウ</t>
    </rPh>
    <rPh sb="1791" eb="1793">
      <t>ニュウリョク</t>
    </rPh>
    <rPh sb="1803" eb="1806">
      <t>ダイガクイン</t>
    </rPh>
    <rPh sb="1806" eb="1808">
      <t>シュウシ</t>
    </rPh>
    <rPh sb="1808" eb="1810">
      <t>ダンカイ</t>
    </rPh>
    <rPh sb="1814" eb="1819">
      <t>ジュギョウリョウアトバラ</t>
    </rPh>
    <rPh sb="1820" eb="1822">
      <t>セイド</t>
    </rPh>
    <rPh sb="1823" eb="1825">
      <t>キジュン</t>
    </rPh>
    <rPh sb="1827" eb="1830">
      <t>ダイイッシュ</t>
    </rPh>
    <rPh sb="1830" eb="1833">
      <t>ショウガクキン</t>
    </rPh>
    <rPh sb="1834" eb="1835">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</si>
</sst>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Red]0"/>
    <numFmt numFmtId="178" formatCode="0_ "/>
    <numFmt numFmtId="179" formatCode="yyyy&quot;.&quot;mm"/>
    <numFmt numFmtId="180" formatCode="[DBNum3]0"/>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b/>
      <sz val="10"/>
      <color theme="1"/>
      <name val="ＭＳ Ｐゴシック"/>
      <family val="3"/>
      <charset val="128"/>
      <scheme val="minor"/>
    </font>
    <font>
      <sz val="11"/>
      <color rgb="FFFF0000"/>
      <name val="ＭＳ Ｐゴシック"/>
      <family val="2"/>
      <scheme val="minor"/>
    </font>
    <font>
      <sz val="9"/>
      <name val="ＭＳ Ｐゴシック"/>
      <family val="2"/>
      <scheme val="minor"/>
    </font>
    <font>
      <sz val="10"/>
      <name val="ＭＳ Ｐゴシック"/>
      <family val="2"/>
      <scheme val="minor"/>
    </font>
    <font>
      <sz val="9"/>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82">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ont="1" applyFill="1" applyBorder="1" applyAlignment="1">
      <alignment horizontal="center" vertical="center" wrapText="1"/>
    </xf>
    <xf numFmtId="0" fontId="0" fillId="0" borderId="17" xfId="0" applyBorder="1"/>
    <xf numFmtId="176" fontId="0" fillId="2" borderId="26" xfId="0"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5"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Fill="1" applyBorder="1" applyAlignment="1">
      <alignment horizontal="left"/>
    </xf>
    <xf numFmtId="176" fontId="2" fillId="2" borderId="29" xfId="0" applyNumberFormat="1" applyFont="1" applyFill="1" applyBorder="1" applyAlignment="1">
      <alignment vertical="center" wrapText="1"/>
    </xf>
    <xf numFmtId="0" fontId="0" fillId="0" borderId="27" xfId="0" applyFill="1"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176" fontId="2" fillId="3" borderId="11" xfId="0" applyNumberFormat="1" applyFont="1" applyFill="1" applyBorder="1" applyAlignment="1" applyProtection="1">
      <alignment vertical="center" wrapText="1"/>
    </xf>
    <xf numFmtId="0" fontId="0" fillId="0" borderId="0" xfId="0" applyFill="1"/>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0" fontId="0" fillId="0" borderId="0" xfId="0" applyBorder="1"/>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on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7" fillId="0" borderId="0" xfId="0" applyFont="1" applyFill="1"/>
    <xf numFmtId="0" fontId="0"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8"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on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0" fillId="0" borderId="0" xfId="0" applyAlignment="1"/>
    <xf numFmtId="0" fontId="11" fillId="0" borderId="0" xfId="0" applyFont="1" applyFill="1"/>
    <xf numFmtId="0" fontId="11" fillId="0" borderId="0" xfId="0" applyFont="1"/>
    <xf numFmtId="0" fontId="0" fillId="0" borderId="58" xfId="0" applyBorder="1"/>
    <xf numFmtId="0" fontId="0" fillId="0" borderId="58" xfId="0" applyBorder="1" applyAlignment="1">
      <alignment horizontal="right"/>
    </xf>
    <xf numFmtId="0" fontId="0" fillId="0" borderId="0" xfId="0" applyFont="1" applyAlignment="1">
      <alignment horizontal="left" vertical="top" wrapText="1"/>
    </xf>
    <xf numFmtId="0" fontId="0" fillId="2" borderId="61" xfId="0" applyFill="1" applyBorder="1" applyAlignment="1">
      <alignment vertical="center" wrapText="1"/>
    </xf>
    <xf numFmtId="0" fontId="9" fillId="2" borderId="50" xfId="0" applyFont="1" applyFill="1" applyBorder="1" applyAlignment="1">
      <alignment wrapText="1"/>
    </xf>
    <xf numFmtId="0" fontId="0" fillId="2" borderId="47" xfId="0" applyFill="1" applyBorder="1" applyAlignment="1">
      <alignment wrapText="1"/>
    </xf>
    <xf numFmtId="0" fontId="13" fillId="2" borderId="62" xfId="0" applyFont="1" applyFill="1" applyBorder="1" applyAlignment="1">
      <alignment horizontal="center" vertical="center" wrapText="1"/>
    </xf>
    <xf numFmtId="0" fontId="14" fillId="2" borderId="62"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0" fillId="0" borderId="0" xfId="0" applyFont="1" applyAlignment="1">
      <alignment horizontal="left" vertical="top" wrapText="1"/>
    </xf>
    <xf numFmtId="0" fontId="13" fillId="2" borderId="60" xfId="0" applyFont="1" applyFill="1" applyBorder="1" applyAlignment="1">
      <alignment horizontal="center" vertical="center" wrapText="1"/>
    </xf>
    <xf numFmtId="0" fontId="15" fillId="0" borderId="0" xfId="0" applyFont="1" applyAlignment="1">
      <alignment vertical="center"/>
    </xf>
    <xf numFmtId="0" fontId="8"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2" borderId="3" xfId="0" applyFont="1" applyFill="1" applyBorder="1" applyAlignment="1">
      <alignment wrapText="1"/>
    </xf>
    <xf numFmtId="0" fontId="8"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pplyProtection="1">
      <alignment vertical="center" wrapText="1"/>
    </xf>
    <xf numFmtId="179" fontId="0" fillId="0" borderId="0" xfId="0" applyNumberFormat="1" applyFill="1" applyAlignment="1">
      <alignment horizontal="right"/>
    </xf>
    <xf numFmtId="0" fontId="0" fillId="0" borderId="0" xfId="0" applyFill="1" applyAlignment="1">
      <alignment horizontal="right"/>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7" fillId="0" borderId="0" xfId="0" applyNumberFormat="1" applyFont="1"/>
    <xf numFmtId="0" fontId="0" fillId="0" borderId="0" xfId="0" applyFill="1" applyBorder="1" applyAlignment="1">
      <alignment horizontal="left" vertical="top"/>
    </xf>
    <xf numFmtId="0" fontId="9" fillId="2" borderId="58" xfId="0" applyFont="1" applyFill="1" applyBorder="1" applyAlignment="1">
      <alignment wrapText="1"/>
    </xf>
    <xf numFmtId="180" fontId="0" fillId="4" borderId="68" xfId="0" applyNumberFormat="1" applyFill="1" applyBorder="1" applyAlignment="1">
      <alignment horizontal="center" vertical="center" shrinkToFit="1"/>
    </xf>
    <xf numFmtId="180" fontId="0" fillId="3" borderId="72" xfId="0" applyNumberFormat="1" applyFill="1" applyBorder="1" applyAlignment="1">
      <alignment horizontal="center" vertical="center"/>
    </xf>
    <xf numFmtId="0" fontId="16" fillId="0" borderId="0" xfId="0" applyFont="1"/>
    <xf numFmtId="180" fontId="0" fillId="3" borderId="4" xfId="0" applyNumberFormat="1" applyFill="1" applyBorder="1" applyAlignment="1">
      <alignment horizontal="center" vertical="center"/>
    </xf>
    <xf numFmtId="14" fontId="8" fillId="0" borderId="0" xfId="0" applyNumberFormat="1" applyFont="1"/>
    <xf numFmtId="0" fontId="17" fillId="0" borderId="0" xfId="0" applyFont="1"/>
    <xf numFmtId="0" fontId="8" fillId="0" borderId="27" xfId="0" applyFont="1" applyFill="1" applyBorder="1" applyAlignment="1">
      <alignment horizontal="center" vertical="center"/>
    </xf>
    <xf numFmtId="0" fontId="8" fillId="0" borderId="0" xfId="0" applyFont="1" applyAlignment="1">
      <alignment horizontal="right"/>
    </xf>
    <xf numFmtId="0" fontId="8" fillId="0" borderId="0" xfId="0" applyFont="1" applyAlignment="1">
      <alignment horizontal="left" vertical="center"/>
    </xf>
    <xf numFmtId="0" fontId="18" fillId="0" borderId="0" xfId="0" applyFont="1" applyFill="1" applyAlignment="1">
      <alignment horizontal="left" vertical="center"/>
    </xf>
    <xf numFmtId="0" fontId="0" fillId="0" borderId="30" xfId="0" applyBorder="1"/>
    <xf numFmtId="0" fontId="0" fillId="0" borderId="74" xfId="0" applyBorder="1"/>
    <xf numFmtId="0" fontId="0" fillId="0" borderId="73" xfId="0" applyBorder="1"/>
    <xf numFmtId="0" fontId="0" fillId="0" borderId="74" xfId="0" applyBorder="1" applyAlignment="1">
      <alignment horizontal="right"/>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0" fillId="2" borderId="14" xfId="0"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8" fillId="0" borderId="0" xfId="0" applyFont="1" applyAlignment="1">
      <alignment horizontal="left" vertical="top" wrapText="1"/>
    </xf>
    <xf numFmtId="0" fontId="0" fillId="2" borderId="52"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Fill="1" applyBorder="1" applyAlignment="1">
      <alignment horizontal="center" vertical="center" wrapText="1"/>
    </xf>
    <xf numFmtId="0" fontId="0" fillId="0" borderId="2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cellXfs>
  <cellStyles count="1">
    <cellStyle name="標準" xfId="0" builtinId="0"/>
  </cellStyles>
  <dxfs count="31">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tint="-4.9989318521683403E-2"/>
      </font>
      <fill>
        <patternFill>
          <bgColor theme="0" tint="-4.9989318521683403E-2"/>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rgb="FFCCFFFF"/>
        </patternFill>
      </fill>
    </dxf>
    <dxf>
      <font>
        <color theme="1"/>
      </font>
      <fill>
        <patternFill patternType="solid">
          <bgColor theme="0" tint="-4.9989318521683403E-2"/>
        </patternFill>
      </fill>
      <border>
        <right style="thin">
          <color auto="1"/>
        </right>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ill>
        <patternFill>
          <bgColor theme="1"/>
        </patternFill>
      </fill>
    </dxf>
    <dxf>
      <fill>
        <patternFill>
          <bgColor theme="1"/>
        </patternFill>
      </fill>
    </dxf>
    <dxf>
      <fill>
        <patternFill>
          <bgColor theme="1"/>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xdr:cNvGrpSpPr/>
      </xdr:nvGrpSpPr>
      <xdr:grpSpPr>
        <a:xfrm>
          <a:off x="9150161" y="1743076"/>
          <a:ext cx="4692463" cy="4019550"/>
          <a:chOff x="9368118" y="1288676"/>
          <a:chExt cx="4676775" cy="3130553"/>
        </a:xfrm>
      </xdr:grpSpPr>
      <xdr:sp macro="" textlink="">
        <xdr:nvSpPr>
          <xdr:cNvPr id="2" name="正方形/長方形 1"/>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xdr:cNvPicPr>
            <a:picLocks noChangeAspect="1"/>
          </xdr:cNvPicPr>
        </xdr:nvPicPr>
        <xdr:blipFill>
          <a:blip xmlns:r="http://schemas.openxmlformats.org/officeDocument/2006/relationships" r:embed="rId1"/>
          <a:stretch>
            <a:fillRect/>
          </a:stretch>
        </xdr:blipFill>
        <xdr:spPr>
          <a:xfrm>
            <a:off x="9371293" y="2463889"/>
            <a:ext cx="4552026" cy="208178"/>
          </a:xfrm>
          <a:prstGeom prst="rect">
            <a:avLst/>
          </a:prstGeom>
        </xdr:spPr>
      </xdr:pic>
      <xdr:sp macro="" textlink="">
        <xdr:nvSpPr>
          <xdr:cNvPr id="4" name="円/楕円 3"/>
          <xdr:cNvSpPr/>
        </xdr:nvSpPr>
        <xdr:spPr>
          <a:xfrm>
            <a:off x="12809818" y="2393008"/>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2719724"/>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xdr:cNvSpPr/>
        </xdr:nvSpPr>
        <xdr:spPr>
          <a:xfrm>
            <a:off x="13235267" y="2681932"/>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123825</xdr:colOff>
      <xdr:row>9</xdr:row>
      <xdr:rowOff>279253</xdr:rowOff>
    </xdr:from>
    <xdr:to>
      <xdr:col>19</xdr:col>
      <xdr:colOff>532514</xdr:colOff>
      <xdr:row>23</xdr:row>
      <xdr:rowOff>314325</xdr:rowOff>
    </xdr:to>
    <xdr:pic>
      <xdr:nvPicPr>
        <xdr:cNvPr id="2" name="図 1"/>
        <xdr:cNvPicPr>
          <a:picLocks noChangeAspect="1"/>
        </xdr:cNvPicPr>
      </xdr:nvPicPr>
      <xdr:blipFill>
        <a:blip xmlns:r="http://schemas.openxmlformats.org/officeDocument/2006/relationships" r:embed="rId1"/>
        <a:stretch>
          <a:fillRect/>
        </a:stretch>
      </xdr:blipFill>
      <xdr:spPr>
        <a:xfrm>
          <a:off x="9486900" y="2374753"/>
          <a:ext cx="7266689" cy="4635647"/>
        </a:xfrm>
        <a:prstGeom prst="rect">
          <a:avLst/>
        </a:prstGeom>
        <a:ln>
          <a:solidFill>
            <a:sysClr val="windowText" lastClr="000000"/>
          </a:solidFill>
        </a:ln>
      </xdr:spPr>
    </xdr:pic>
    <xdr:clientData/>
  </xdr:twoCellAnchor>
  <xdr:oneCellAnchor>
    <xdr:from>
      <xdr:col>3</xdr:col>
      <xdr:colOff>1695450</xdr:colOff>
      <xdr:row>7</xdr:row>
      <xdr:rowOff>38100</xdr:rowOff>
    </xdr:from>
    <xdr:ext cx="266700" cy="276225"/>
    <xdr:sp macro="" textlink="">
      <xdr:nvSpPr>
        <xdr:cNvPr id="44" name="テキスト ボックス 43"/>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予約採用以外の場合に表示（大学院除く）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予約採用でも大学院でもない貸与・私立の場合に表示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生計維持者が１人の場合に表示（大学院除く）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生計維持者が２人の場合に表示</a:t>
          </a:r>
          <a:r>
            <a:rPr kumimoji="1" lang="ja-JP" altLang="en-US" sz="600">
              <a:solidFill>
                <a:sysClr val="windowText" lastClr="000000"/>
              </a:solidFill>
            </a:rPr>
            <a:t>（大学院は配偶者欄）</a:t>
          </a:r>
          <a:endParaRPr kumimoji="1" lang="ja-JP" altLang="en-US" sz="800">
            <a:solidFill>
              <a:sysClr val="windowText" lastClr="00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476250</xdr:colOff>
      <xdr:row>11</xdr:row>
      <xdr:rowOff>228600</xdr:rowOff>
    </xdr:from>
    <xdr:ext cx="266700" cy="276225"/>
    <xdr:sp macro="" textlink="">
      <xdr:nvSpPr>
        <xdr:cNvPr id="121" name="テキスト ボックス 120"/>
        <xdr:cNvSpPr txBox="1"/>
      </xdr:nvSpPr>
      <xdr:spPr>
        <a:xfrm>
          <a:off x="10525125" y="3009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95250</xdr:colOff>
      <xdr:row>16</xdr:row>
      <xdr:rowOff>238125</xdr:rowOff>
    </xdr:from>
    <xdr:ext cx="552450" cy="276225"/>
    <xdr:sp macro="" textlink="">
      <xdr:nvSpPr>
        <xdr:cNvPr id="122" name="テキスト ボックス 121"/>
        <xdr:cNvSpPr txBox="1"/>
      </xdr:nvSpPr>
      <xdr:spPr>
        <a:xfrm>
          <a:off x="12201525" y="4533900"/>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200025</xdr:rowOff>
    </xdr:from>
    <xdr:ext cx="266700" cy="276225"/>
    <xdr:sp macro="" textlink="">
      <xdr:nvSpPr>
        <xdr:cNvPr id="123" name="テキスト ボックス 122"/>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419100</xdr:colOff>
      <xdr:row>18</xdr:row>
      <xdr:rowOff>323850</xdr:rowOff>
    </xdr:from>
    <xdr:ext cx="266700" cy="276225"/>
    <xdr:sp macro="" textlink="">
      <xdr:nvSpPr>
        <xdr:cNvPr id="124" name="テキスト ボックス 123"/>
        <xdr:cNvSpPr txBox="1"/>
      </xdr:nvSpPr>
      <xdr:spPr>
        <a:xfrm>
          <a:off x="10467975" y="530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16</xdr:col>
      <xdr:colOff>0</xdr:colOff>
      <xdr:row>12</xdr:row>
      <xdr:rowOff>276225</xdr:rowOff>
    </xdr:from>
    <xdr:ext cx="266700" cy="276225"/>
    <xdr:sp macro="" textlink="">
      <xdr:nvSpPr>
        <xdr:cNvPr id="125" name="テキスト ボックス 124"/>
        <xdr:cNvSpPr txBox="1"/>
      </xdr:nvSpPr>
      <xdr:spPr>
        <a:xfrm>
          <a:off x="141636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161925</xdr:colOff>
      <xdr:row>14</xdr:row>
      <xdr:rowOff>57150</xdr:rowOff>
    </xdr:from>
    <xdr:ext cx="409575" cy="276225"/>
    <xdr:sp macro="" textlink="">
      <xdr:nvSpPr>
        <xdr:cNvPr id="126" name="テキスト ボックス 125"/>
        <xdr:cNvSpPr txBox="1"/>
      </xdr:nvSpPr>
      <xdr:spPr>
        <a:xfrm>
          <a:off x="12268200" y="374332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381000</xdr:colOff>
      <xdr:row>19</xdr:row>
      <xdr:rowOff>257175</xdr:rowOff>
    </xdr:from>
    <xdr:ext cx="266700" cy="276225"/>
    <xdr:sp macro="" textlink="">
      <xdr:nvSpPr>
        <xdr:cNvPr id="127" name="テキスト ボックス 126"/>
        <xdr:cNvSpPr txBox="1"/>
      </xdr:nvSpPr>
      <xdr:spPr>
        <a:xfrm>
          <a:off x="13173075" y="5581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390525</xdr:colOff>
      <xdr:row>20</xdr:row>
      <xdr:rowOff>180975</xdr:rowOff>
    </xdr:from>
    <xdr:ext cx="266700" cy="276225"/>
    <xdr:sp macro="" textlink="">
      <xdr:nvSpPr>
        <xdr:cNvPr id="128" name="テキスト ボックス 127"/>
        <xdr:cNvSpPr txBox="1"/>
      </xdr:nvSpPr>
      <xdr:spPr>
        <a:xfrm>
          <a:off x="13182600" y="5848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466725</xdr:colOff>
      <xdr:row>13</xdr:row>
      <xdr:rowOff>142875</xdr:rowOff>
    </xdr:from>
    <xdr:ext cx="266700" cy="276225"/>
    <xdr:sp macro="" textlink="">
      <xdr:nvSpPr>
        <xdr:cNvPr id="129" name="テキスト ボックス 128"/>
        <xdr:cNvSpPr txBox="1"/>
      </xdr:nvSpPr>
      <xdr:spPr>
        <a:xfrm>
          <a:off x="153162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447675</xdr:colOff>
      <xdr:row>17</xdr:row>
      <xdr:rowOff>247650</xdr:rowOff>
    </xdr:from>
    <xdr:ext cx="266700" cy="276225"/>
    <xdr:sp macro="" textlink="">
      <xdr:nvSpPr>
        <xdr:cNvPr id="130" name="テキスト ボックス 129"/>
        <xdr:cNvSpPr txBox="1"/>
      </xdr:nvSpPr>
      <xdr:spPr>
        <a:xfrm>
          <a:off x="15297150" y="4886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447675</xdr:colOff>
      <xdr:row>22</xdr:row>
      <xdr:rowOff>152400</xdr:rowOff>
    </xdr:from>
    <xdr:ext cx="266700" cy="276225"/>
    <xdr:sp macro="" textlink="">
      <xdr:nvSpPr>
        <xdr:cNvPr id="131" name="テキスト ボックス 130"/>
        <xdr:cNvSpPr txBox="1"/>
      </xdr:nvSpPr>
      <xdr:spPr>
        <a:xfrm>
          <a:off x="14611350" y="6505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(30)</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大学院は申込者本人を表示</a:t>
          </a:r>
          <a:endParaRPr kumimoji="1" lang="ja-JP" altLang="en-US" sz="1000">
            <a:solidFill>
              <a:sysClr val="windowText" lastClr="000000"/>
            </a:solidFill>
          </a:endParaRPr>
        </a:p>
      </xdr:txBody>
    </xdr:sp>
    <xdr:clientData/>
  </xdr:twoCellAnchor>
  <xdr:twoCellAnchor>
    <xdr:from>
      <xdr:col>5</xdr:col>
      <xdr:colOff>0</xdr:colOff>
      <xdr:row>13</xdr:row>
      <xdr:rowOff>0</xdr:rowOff>
    </xdr:from>
    <xdr:to>
      <xdr:col>5</xdr:col>
      <xdr:colOff>1181100</xdr:colOff>
      <xdr:row>14</xdr:row>
      <xdr:rowOff>85725</xdr:rowOff>
    </xdr:to>
    <xdr:sp macro="" textlink="">
      <xdr:nvSpPr>
        <xdr:cNvPr id="60" name="線吹き出し 1 (枠付き) 59"/>
        <xdr:cNvSpPr/>
      </xdr:nvSpPr>
      <xdr:spPr>
        <a:xfrm>
          <a:off x="4914900" y="3467100"/>
          <a:ext cx="1181100" cy="30480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大学院の申し込みを選択した場合に表示</a:t>
          </a:r>
        </a:p>
      </xdr:txBody>
    </xdr:sp>
    <xdr:clientData/>
  </xdr:twoCellAnchor>
  <xdr:oneCellAnchor>
    <xdr:from>
      <xdr:col>4</xdr:col>
      <xdr:colOff>0</xdr:colOff>
      <xdr:row>39</xdr:row>
      <xdr:rowOff>0</xdr:rowOff>
    </xdr:from>
    <xdr:ext cx="266700" cy="276225"/>
    <xdr:sp macro="" textlink="">
      <xdr:nvSpPr>
        <xdr:cNvPr id="54" name="テキスト ボックス 53"/>
        <xdr:cNvSpPr txBox="1"/>
      </xdr:nvSpPr>
      <xdr:spPr>
        <a:xfrm>
          <a:off x="3209925" y="11839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E9" sqref="E9"/>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5" t="s">
        <v>134</v>
      </c>
      <c r="G1" s="42">
        <f>MAX(修正履歴!A:A)</f>
        <v>45717</v>
      </c>
    </row>
    <row r="2" spans="2:8" x14ac:dyDescent="0.15">
      <c r="G2" s="15"/>
    </row>
    <row r="3" spans="2:8" x14ac:dyDescent="0.15">
      <c r="B3" s="67" t="s">
        <v>160</v>
      </c>
      <c r="G3" s="15"/>
    </row>
    <row r="4" spans="2:8" x14ac:dyDescent="0.15">
      <c r="B4" t="s">
        <v>161</v>
      </c>
      <c r="G4" s="15"/>
    </row>
    <row r="5" spans="2:8" ht="8.25" customHeight="1" x14ac:dyDescent="0.15">
      <c r="G5" s="15"/>
    </row>
    <row r="6" spans="2:8" x14ac:dyDescent="0.15">
      <c r="B6" s="36" t="s">
        <v>86</v>
      </c>
      <c r="G6" s="15"/>
    </row>
    <row r="7" spans="2:8" ht="24.75" customHeight="1" thickBot="1" x14ac:dyDescent="0.2">
      <c r="B7" s="22" t="s">
        <v>156</v>
      </c>
      <c r="F7" s="82"/>
      <c r="G7" s="83"/>
    </row>
    <row r="8" spans="2:8" ht="27" customHeight="1" x14ac:dyDescent="0.15">
      <c r="B8" s="155" t="s">
        <v>142</v>
      </c>
      <c r="C8" s="156"/>
      <c r="D8" s="157"/>
      <c r="E8" s="47">
        <v>2025</v>
      </c>
      <c r="F8" s="85" t="str">
        <f>IF(計算シート!B3&gt;1,"在籍校の設置者を選択してください。","")</f>
        <v>在籍校の設置者を選択してください。</v>
      </c>
      <c r="G8" s="95" t="s">
        <v>164</v>
      </c>
    </row>
    <row r="9" spans="2:8" ht="27" customHeight="1" x14ac:dyDescent="0.15">
      <c r="B9" s="158" t="s">
        <v>88</v>
      </c>
      <c r="C9" s="159"/>
      <c r="D9" s="160"/>
      <c r="E9" s="78" t="s">
        <v>60</v>
      </c>
      <c r="F9" s="86" t="str">
        <f>IF(AND(計算シート!B4&lt;4,計算シート!B3&gt;1,VLOOKUP(G8,リストボックス!AB2:AC3,2,0)=2),"通学形態を選択してください。","")</f>
        <v/>
      </c>
      <c r="G9" s="88" t="s">
        <v>167</v>
      </c>
    </row>
    <row r="10" spans="2:8" ht="27" customHeight="1" x14ac:dyDescent="0.15">
      <c r="B10" s="158" t="str">
        <f>"申請した奨学金の種別"&amp;IF(計算シート!$B$46=1,"※","")</f>
        <v>申請した奨学金の種別</v>
      </c>
      <c r="C10" s="159"/>
      <c r="D10" s="160"/>
      <c r="E10" s="55" t="s">
        <v>197</v>
      </c>
      <c r="F10" s="87" t="str">
        <f>IF(計算シート!B4=3,"両方を希望した場合の優先順位を選択してください。","")</f>
        <v/>
      </c>
      <c r="G10" s="89" t="s">
        <v>120</v>
      </c>
      <c r="H10" s="12"/>
    </row>
    <row r="11" spans="2:8" ht="27" customHeight="1" x14ac:dyDescent="0.15">
      <c r="B11" s="158" t="s">
        <v>159</v>
      </c>
      <c r="C11" s="159"/>
      <c r="D11" s="160"/>
      <c r="E11" s="93">
        <v>2</v>
      </c>
      <c r="F11" s="87" t="str">
        <f>IF(計算シート!B2=2,"生計維持者１の続柄を選択してください。","")</f>
        <v/>
      </c>
      <c r="G11" s="90" t="s">
        <v>130</v>
      </c>
    </row>
    <row r="12" spans="2:8" ht="27" customHeight="1" x14ac:dyDescent="0.15">
      <c r="B12" s="163" t="s">
        <v>151</v>
      </c>
      <c r="C12" s="164"/>
      <c r="D12" s="165"/>
      <c r="E12" s="123"/>
      <c r="F12" s="86" t="str">
        <f>IF(AND(計算シート!B4=4,計算シート!B2&lt;3),"申込者/奨学生は生計維持者に扶養されていますか。","")</f>
        <v>申込者/奨学生は生計維持者に扶養されていますか。</v>
      </c>
      <c r="G12" s="91" t="s">
        <v>154</v>
      </c>
    </row>
    <row r="13" spans="2:8" ht="27" customHeight="1" thickBot="1" x14ac:dyDescent="0.2">
      <c r="B13" s="166" t="str">
        <f>IF(計算シート!$B$46=1,"大学院の課程","")</f>
        <v/>
      </c>
      <c r="C13" s="167"/>
      <c r="D13" s="167"/>
      <c r="E13" s="122" t="s">
        <v>192</v>
      </c>
      <c r="F13" s="121" t="str">
        <f>IF(AND(計算シート!B4=4,計算シート!B3&gt;1,VLOOKUP(G8,リストボックス!AB2:AC3,2,0)=2),"在籍している学科等は理工農系の分野ですか。","")</f>
        <v>在籍している学科等は理工農系の分野ですか。</v>
      </c>
      <c r="G13" s="92" t="s">
        <v>144</v>
      </c>
    </row>
    <row r="14" spans="2:8" ht="16.5" customHeight="1" x14ac:dyDescent="0.15">
      <c r="B14" s="37" t="s">
        <v>89</v>
      </c>
      <c r="C14" s="17"/>
      <c r="D14" s="120" t="str">
        <f>IF(計算シート!$B$46=1,"※大学院段階における授業料後払い制度は、第一種奨学金に含みます。","")</f>
        <v/>
      </c>
      <c r="E14" s="17"/>
    </row>
    <row r="15" spans="2:8" ht="24" customHeight="1" x14ac:dyDescent="0.15">
      <c r="B15" s="22" t="s">
        <v>90</v>
      </c>
      <c r="C15" s="17"/>
      <c r="D15" s="17"/>
      <c r="E15" s="16"/>
    </row>
    <row r="16" spans="2:8" ht="24" customHeight="1" thickBot="1" x14ac:dyDescent="0.2">
      <c r="B16" s="22"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課税証明書(所得証明書)は、2025年度[2024年分](申込年の９月が給付又は貸与の始期なら、その前年度)のものを用意してください。</v>
      </c>
      <c r="C16" s="17"/>
      <c r="D16" s="17"/>
      <c r="E16" s="16"/>
    </row>
    <row r="17" spans="2:7" ht="55.5" customHeight="1" thickBot="1" x14ac:dyDescent="0.2">
      <c r="B17" s="18" t="s">
        <v>34</v>
      </c>
      <c r="C17" s="161" t="s">
        <v>31</v>
      </c>
      <c r="D17" s="162"/>
      <c r="E17" s="19" t="str">
        <f>IF(計算シート!$B$46=0,"生計維持者１","申込者本人")</f>
        <v>生計維持者１</v>
      </c>
      <c r="F17" s="20" t="str">
        <f>IF(計算シート!$B$46=0,"生計維持者２","配偶者
※いない場合入力不要")</f>
        <v>生計維持者２</v>
      </c>
      <c r="G17" s="21" t="s">
        <v>11</v>
      </c>
    </row>
    <row r="18" spans="2:7" ht="27" customHeight="1" thickTop="1" x14ac:dyDescent="0.15">
      <c r="B18" s="14" t="s">
        <v>36</v>
      </c>
      <c r="C18" s="139" t="s">
        <v>75</v>
      </c>
      <c r="D18" s="140"/>
      <c r="E18" s="29"/>
      <c r="F18" s="43"/>
      <c r="G18" s="31"/>
    </row>
    <row r="19" spans="2:7" ht="27" customHeight="1" x14ac:dyDescent="0.15">
      <c r="B19" s="2" t="s">
        <v>37</v>
      </c>
      <c r="C19" s="145" t="s">
        <v>4</v>
      </c>
      <c r="D19" s="10" t="s">
        <v>17</v>
      </c>
      <c r="E19" s="23" t="s">
        <v>65</v>
      </c>
      <c r="F19" s="24" t="s">
        <v>65</v>
      </c>
      <c r="G19" s="25" t="s">
        <v>65</v>
      </c>
    </row>
    <row r="20" spans="2:7" ht="27" customHeight="1" x14ac:dyDescent="0.15">
      <c r="B20" s="2" t="s">
        <v>38</v>
      </c>
      <c r="C20" s="145"/>
      <c r="D20" s="41" t="str">
        <f>"控除対象寡婦"&amp;IF(計算シート!B27=1,"・ひとり親","（寡夫）")</f>
        <v>控除対象寡婦・ひとり親</v>
      </c>
      <c r="E20" s="23" t="s">
        <v>65</v>
      </c>
      <c r="F20" s="24" t="s">
        <v>65</v>
      </c>
      <c r="G20" s="25" t="s">
        <v>65</v>
      </c>
    </row>
    <row r="21" spans="2:7" ht="27" customHeight="1" x14ac:dyDescent="0.15">
      <c r="B21" s="2" t="s">
        <v>39</v>
      </c>
      <c r="C21" s="143" t="s">
        <v>5</v>
      </c>
      <c r="D21" s="144"/>
      <c r="E21" s="32"/>
      <c r="F21" s="33"/>
      <c r="G21" s="34"/>
    </row>
    <row r="22" spans="2:7" ht="27" customHeight="1" x14ac:dyDescent="0.15">
      <c r="B22" s="2" t="s">
        <v>40</v>
      </c>
      <c r="C22" s="145" t="str">
        <f>IF(E8="","----年-月-日",TEXT(計算シート!B8,"yyyy年m月d日"))&amp;"時点の生活保護法の
生活扶助の受給"</f>
        <v>2025年1月1日時点の生活保護法の
生活扶助の受給</v>
      </c>
      <c r="D22" s="154"/>
      <c r="E22" s="23" t="s">
        <v>61</v>
      </c>
      <c r="F22" s="24" t="s">
        <v>61</v>
      </c>
      <c r="G22" s="25" t="s">
        <v>61</v>
      </c>
    </row>
    <row r="23" spans="2:7" ht="27" customHeight="1" x14ac:dyDescent="0.15">
      <c r="B23" s="2" t="s">
        <v>42</v>
      </c>
      <c r="C23" s="139" t="s">
        <v>76</v>
      </c>
      <c r="D23" s="140"/>
      <c r="E23" s="29"/>
      <c r="F23" s="30"/>
      <c r="G23" s="31"/>
    </row>
    <row r="24" spans="2:7" ht="27" customHeight="1" x14ac:dyDescent="0.15">
      <c r="B24" s="2" t="s">
        <v>44</v>
      </c>
      <c r="C24" s="139" t="s">
        <v>2</v>
      </c>
      <c r="D24" s="140"/>
      <c r="E24" s="23" t="s">
        <v>65</v>
      </c>
      <c r="F24" s="24" t="s">
        <v>65</v>
      </c>
      <c r="G24" s="25" t="s">
        <v>65</v>
      </c>
    </row>
    <row r="25" spans="2:7" ht="27" customHeight="1" x14ac:dyDescent="0.15">
      <c r="B25" s="2" t="s">
        <v>45</v>
      </c>
      <c r="C25" s="145" t="s">
        <v>3</v>
      </c>
      <c r="D25" s="10" t="s">
        <v>77</v>
      </c>
      <c r="E25" s="26"/>
      <c r="F25" s="27"/>
      <c r="G25" s="28"/>
    </row>
    <row r="26" spans="2:7" ht="27" customHeight="1" x14ac:dyDescent="0.15">
      <c r="B26" s="2" t="s">
        <v>46</v>
      </c>
      <c r="C26" s="145"/>
      <c r="D26" s="10" t="s">
        <v>78</v>
      </c>
      <c r="E26" s="26"/>
      <c r="F26" s="27"/>
      <c r="G26" s="28"/>
    </row>
    <row r="27" spans="2:7" ht="27" customHeight="1" x14ac:dyDescent="0.15">
      <c r="B27" s="2" t="s">
        <v>47</v>
      </c>
      <c r="C27" s="145"/>
      <c r="D27" s="10" t="s">
        <v>79</v>
      </c>
      <c r="E27" s="26"/>
      <c r="F27" s="27"/>
      <c r="G27" s="28"/>
    </row>
    <row r="28" spans="2:7" ht="27" customHeight="1" x14ac:dyDescent="0.15">
      <c r="B28" s="2" t="s">
        <v>48</v>
      </c>
      <c r="C28" s="139" t="s">
        <v>80</v>
      </c>
      <c r="D28" s="140"/>
      <c r="E28" s="26"/>
      <c r="F28" s="27"/>
      <c r="G28" s="28"/>
    </row>
    <row r="29" spans="2:7" ht="27" customHeight="1" x14ac:dyDescent="0.15">
      <c r="B29" s="2" t="s">
        <v>51</v>
      </c>
      <c r="C29" s="139" t="s">
        <v>81</v>
      </c>
      <c r="D29" s="140"/>
      <c r="E29" s="29"/>
      <c r="F29" s="43"/>
      <c r="G29" s="31"/>
    </row>
    <row r="30" spans="2:7" ht="27" customHeight="1" x14ac:dyDescent="0.15">
      <c r="B30" s="2" t="s">
        <v>52</v>
      </c>
      <c r="C30" s="139" t="s">
        <v>82</v>
      </c>
      <c r="D30" s="140"/>
      <c r="E30" s="29"/>
      <c r="F30" s="43"/>
      <c r="G30" s="31"/>
    </row>
    <row r="31" spans="2:7" ht="27" customHeight="1" x14ac:dyDescent="0.15">
      <c r="B31" s="2" t="s">
        <v>53</v>
      </c>
      <c r="C31" s="139" t="s">
        <v>135</v>
      </c>
      <c r="D31" s="140"/>
      <c r="E31" s="29"/>
      <c r="F31" s="43"/>
      <c r="G31" s="31"/>
    </row>
    <row r="32" spans="2:7" ht="27" customHeight="1" x14ac:dyDescent="0.15">
      <c r="B32" s="2" t="s">
        <v>54</v>
      </c>
      <c r="C32" s="139" t="s">
        <v>7</v>
      </c>
      <c r="D32" s="140"/>
      <c r="E32" s="23" t="s">
        <v>63</v>
      </c>
      <c r="F32" s="24" t="s">
        <v>63</v>
      </c>
      <c r="G32" s="25" t="s">
        <v>63</v>
      </c>
    </row>
    <row r="33" spans="1:12" ht="27" hidden="1" customHeight="1" thickBot="1" x14ac:dyDescent="0.2">
      <c r="B33" s="50">
        <v>4</v>
      </c>
      <c r="C33" s="147" t="s">
        <v>108</v>
      </c>
      <c r="D33" s="148"/>
      <c r="E33" s="51"/>
      <c r="F33" s="52"/>
      <c r="G33" s="53"/>
      <c r="L33" s="57"/>
    </row>
    <row r="34" spans="1:12" ht="27" customHeight="1" x14ac:dyDescent="0.15">
      <c r="B34" s="49" t="s">
        <v>41</v>
      </c>
      <c r="C34" s="146" t="s">
        <v>35</v>
      </c>
      <c r="D34" s="144"/>
      <c r="E34" s="8">
        <f>計算シート!B20</f>
        <v>0</v>
      </c>
      <c r="F34" s="5">
        <f>計算シート!C20</f>
        <v>0</v>
      </c>
      <c r="G34" s="6">
        <f>計算シート!D20</f>
        <v>0</v>
      </c>
    </row>
    <row r="35" spans="1:12" ht="27" customHeight="1" x14ac:dyDescent="0.15">
      <c r="B35" s="2" t="s">
        <v>43</v>
      </c>
      <c r="C35" s="143" t="s">
        <v>83</v>
      </c>
      <c r="D35" s="144"/>
      <c r="E35" s="8">
        <f>計算シート!B13</f>
        <v>0</v>
      </c>
      <c r="F35" s="5">
        <f>計算シート!C13</f>
        <v>0</v>
      </c>
      <c r="G35" s="6">
        <f>計算シート!D13</f>
        <v>0</v>
      </c>
    </row>
    <row r="36" spans="1:12" ht="27" customHeight="1" x14ac:dyDescent="0.15">
      <c r="B36" s="2" t="s">
        <v>49</v>
      </c>
      <c r="C36" s="139" t="s">
        <v>84</v>
      </c>
      <c r="D36" s="140"/>
      <c r="E36" s="11">
        <f>計算シート!B15</f>
        <v>0</v>
      </c>
      <c r="F36" s="11">
        <f>計算シート!C15</f>
        <v>0</v>
      </c>
      <c r="G36" s="13">
        <f>計算シート!D15</f>
        <v>0</v>
      </c>
      <c r="H36" s="12"/>
    </row>
    <row r="37" spans="1:12" ht="27" customHeight="1" x14ac:dyDescent="0.15">
      <c r="B37" s="2" t="s">
        <v>50</v>
      </c>
      <c r="C37" s="145" t="s">
        <v>85</v>
      </c>
      <c r="D37" s="140"/>
      <c r="E37" s="9">
        <f>計算シート!B16</f>
        <v>450000</v>
      </c>
      <c r="F37" s="3">
        <f>計算シート!C16</f>
        <v>450000</v>
      </c>
      <c r="G37" s="4">
        <f>計算シート!D16</f>
        <v>450000</v>
      </c>
    </row>
    <row r="38" spans="1:12" ht="27" customHeight="1" x14ac:dyDescent="0.15">
      <c r="B38" s="2" t="s">
        <v>55</v>
      </c>
      <c r="C38" s="139" t="str">
        <f>IF(計算シート!B4&lt;4,"貸与額算定基準額（円）","支給額算定基準額（円）")</f>
        <v>支給額算定基準額（円）</v>
      </c>
      <c r="D38" s="140"/>
      <c r="E38" s="56">
        <f>IF(計算シート!B4&lt;4,計算シート!B33,計算シート!B34)</f>
        <v>0</v>
      </c>
      <c r="F38" s="3">
        <f>IF(計算シート!B4&lt;4,計算シート!C33,計算シート!C34)</f>
        <v>0</v>
      </c>
      <c r="G38" s="4">
        <f>IF(計算シート!B4&lt;4,計算シート!D26,計算シート!D25)</f>
        <v>0</v>
      </c>
    </row>
    <row r="39" spans="1:12" ht="27" customHeight="1" thickBot="1" x14ac:dyDescent="0.2">
      <c r="B39" s="48">
        <v>4</v>
      </c>
      <c r="C39" s="149" t="str">
        <f>IF(計算シート!B4&lt;4,"世帯の貸与額算定基準額（円）","世帯の支給額算定基準額（円）")</f>
        <v>世帯の支給額算定基準額（円）</v>
      </c>
      <c r="D39" s="150"/>
      <c r="E39" s="151">
        <f>IF(計算シート!B4&lt;4,計算シート!B39,SUM(計算シート!B34:C34,計算シート!D25))</f>
        <v>0</v>
      </c>
      <c r="F39" s="152"/>
      <c r="G39" s="153"/>
    </row>
    <row r="40" spans="1:12" ht="27" customHeight="1" thickTop="1" thickBot="1" x14ac:dyDescent="0.2">
      <c r="A40" s="54"/>
      <c r="B40" s="128"/>
      <c r="C40" s="141" t="str">
        <f>IF(計算シート!B4&lt;4,"家計基準が適格となる種別","支援区分")</f>
        <v>支援区分</v>
      </c>
      <c r="D40" s="142"/>
      <c r="E40" s="136" t="str">
        <f>IF(計算シート!B4&lt;4,計算シート!B43,計算シート!B44&amp;計算シート!B45&amp;計算シート!B52)</f>
        <v>第Ⅰ区分</v>
      </c>
      <c r="F40" s="137"/>
      <c r="G40" s="138"/>
      <c r="H40" s="129"/>
    </row>
    <row r="41" spans="1:12" x14ac:dyDescent="0.15">
      <c r="A41" s="54"/>
      <c r="B41" s="54"/>
      <c r="C41" s="54"/>
      <c r="D41" s="130"/>
      <c r="E41" s="131"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c r="F41" s="54"/>
      <c r="G41" s="54"/>
      <c r="H41" s="54"/>
    </row>
    <row r="42" spans="1:12" x14ac:dyDescent="0.15">
      <c r="A42" s="127"/>
      <c r="B42" s="54"/>
      <c r="C42" s="54"/>
      <c r="D42" s="54"/>
      <c r="E42" s="54"/>
      <c r="F42" s="54"/>
      <c r="G42" s="54"/>
      <c r="H42" s="54"/>
    </row>
  </sheetData>
  <protectedRanges>
    <protectedRange sqref="G8:G13" name="範囲3"/>
    <protectedRange sqref="E8:E12" name="範囲1"/>
    <protectedRange sqref="E18:G33" name="範囲2"/>
  </protectedRanges>
  <mergeCells count="29">
    <mergeCell ref="B8:D8"/>
    <mergeCell ref="B9:D9"/>
    <mergeCell ref="B11:D11"/>
    <mergeCell ref="C21:D21"/>
    <mergeCell ref="C18:D18"/>
    <mergeCell ref="C19:C20"/>
    <mergeCell ref="C17:D17"/>
    <mergeCell ref="B10:D10"/>
    <mergeCell ref="B12:D12"/>
    <mergeCell ref="B13:D13"/>
    <mergeCell ref="C24:D24"/>
    <mergeCell ref="C25:C27"/>
    <mergeCell ref="C28:D28"/>
    <mergeCell ref="C22:D22"/>
    <mergeCell ref="C23:D23"/>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s>
  <phoneticPr fontId="1"/>
  <conditionalFormatting sqref="F10">
    <cfRule type="expression" dxfId="30" priority="8">
      <formula>"計算シート!B4=3"</formula>
    </cfRule>
  </conditionalFormatting>
  <conditionalFormatting sqref="F11">
    <cfRule type="expression" dxfId="29" priority="7">
      <formula>"計算シート!B2=2"</formula>
    </cfRule>
  </conditionalFormatting>
  <dataValidations count="1">
    <dataValidation type="whole" allowBlank="1" showInputMessage="1" showErrorMessage="1" sqref="E12">
      <formula1>0</formula1>
      <formula2>99</formula2>
    </dataValidation>
  </dataValidations>
  <pageMargins left="3.937007874015748E-2" right="3.937007874015748E-2" top="7.874015748031496E-2" bottom="3.937007874015748E-2" header="3.937007874015748E-2" footer="3.937007874015748E-2"/>
  <pageSetup paperSize="9" scale="8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14:formula1>
            <xm:f>リストボックス!$A$2:$A$4</xm:f>
          </x14:formula1>
          <xm:sqref>E11</xm:sqref>
        </x14:dataValidation>
        <x14:dataValidation type="list" allowBlank="1" showInputMessage="1" showErrorMessage="1">
          <x14:formula1>
            <xm:f>リストボックス!$E$2:$E$3</xm:f>
          </x14:formula1>
          <xm:sqref>E22:G22</xm:sqref>
        </x14:dataValidation>
        <x14:dataValidation type="list" allowBlank="1" showInputMessage="1" showErrorMessage="1">
          <x14:formula1>
            <xm:f>リストボックス!$G$2:$G$3</xm:f>
          </x14:formula1>
          <xm:sqref>E32:G32</xm:sqref>
        </x14:dataValidation>
        <x14:dataValidation type="list" allowBlank="1" showInputMessage="1" showErrorMessage="1">
          <x14:formula1>
            <xm:f>リストボックス!$I$2:$I$5</xm:f>
          </x14:formula1>
          <xm:sqref>E24:G24</xm:sqref>
        </x14:dataValidation>
        <x14:dataValidation type="list" allowBlank="1" showInputMessage="1" showErrorMessage="1">
          <x14:formula1>
            <xm:f>リストボックス!$K$2:$K$5</xm:f>
          </x14:formula1>
          <xm:sqref>E19:G19</xm:sqref>
        </x14:dataValidation>
        <x14:dataValidation type="list" allowBlank="1" showInputMessage="1" showErrorMessage="1">
          <x14:formula1>
            <xm:f>リストボックス!$C$2:$C$8</xm:f>
          </x14:formula1>
          <xm:sqref>E9</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リストボックス!$AD$2:$AD$3</xm:f>
          </x14:formula1>
          <xm:sqref>E13</xm:sqref>
        </x14:dataValidation>
        <x14:dataValidation type="list" allowBlank="1" showInputMessage="1" showErrorMessage="1">
          <x14:formula1>
            <xm:f>リストボックス!$M$2:$M$4</xm:f>
          </x14:formula1>
          <xm:sqref>E20:G20</xm:sqref>
        </x14:dataValidation>
        <x14:dataValidation type="list" allowBlank="1" showInputMessage="1" showErrorMessage="1">
          <x14:formula1>
            <xm:f>IF(VLOOKUP($E$9,リストボックス!$C$1:$D$9,2,0)=5,リストボックス!$O$5,IF(計算シート!$B$46=1,リストボックス!$O$2:$O$4,リストボックス!$O$2:$O$5))</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view="pageBreakPreview" topLeftCell="C1" zoomScaleNormal="100" zoomScaleSheetLayoutView="100" workbookViewId="0">
      <selection activeCell="E8" sqref="E8"/>
    </sheetView>
  </sheetViews>
  <sheetFormatPr defaultRowHeight="13.5" x14ac:dyDescent="0.15"/>
  <cols>
    <col min="1" max="1" width="1.625" customWidth="1"/>
    <col min="2" max="2" width="7.125" customWidth="1"/>
    <col min="4" max="4" width="24.375" customWidth="1"/>
    <col min="5" max="7" width="22.375" customWidth="1"/>
    <col min="8" max="8" width="13.25" style="44" customWidth="1"/>
    <col min="9" max="9" width="0.375" customWidth="1"/>
    <col min="21" max="21" width="12.125" customWidth="1"/>
    <col min="22" max="22" width="10.375" customWidth="1"/>
  </cols>
  <sheetData>
    <row r="1" spans="2:22" ht="23.25" customHeight="1" x14ac:dyDescent="0.15">
      <c r="B1" s="96" t="s">
        <v>168</v>
      </c>
      <c r="E1" s="40" t="s">
        <v>91</v>
      </c>
      <c r="G1" s="42">
        <f>MAX(修正履歴!A:A)</f>
        <v>45717</v>
      </c>
      <c r="H1" s="107"/>
      <c r="I1" s="132" t="s">
        <v>92</v>
      </c>
      <c r="J1" s="133"/>
      <c r="N1" s="45" t="s">
        <v>105</v>
      </c>
      <c r="V1" s="42">
        <f>G1</f>
        <v>45717</v>
      </c>
    </row>
    <row r="2" spans="2:22" x14ac:dyDescent="0.15">
      <c r="G2" s="15"/>
      <c r="H2" s="108"/>
      <c r="I2" s="133"/>
    </row>
    <row r="3" spans="2:22" x14ac:dyDescent="0.15">
      <c r="B3" s="67" t="s">
        <v>160</v>
      </c>
      <c r="G3" s="15"/>
      <c r="H3" s="108"/>
      <c r="I3" s="133"/>
      <c r="J3" t="s">
        <v>200</v>
      </c>
    </row>
    <row r="4" spans="2:22" x14ac:dyDescent="0.15">
      <c r="B4" t="s">
        <v>161</v>
      </c>
      <c r="G4" s="15"/>
      <c r="H4" s="108"/>
      <c r="I4" s="133"/>
      <c r="J4" t="s">
        <v>107</v>
      </c>
    </row>
    <row r="5" spans="2:22" ht="9" customHeight="1" x14ac:dyDescent="0.15">
      <c r="G5" s="15"/>
      <c r="H5" s="108"/>
      <c r="I5" s="133"/>
      <c r="J5" s="168" t="s">
        <v>201</v>
      </c>
      <c r="K5" s="168"/>
      <c r="L5" s="168"/>
      <c r="M5" s="168"/>
      <c r="N5" s="168"/>
      <c r="O5" s="168"/>
      <c r="P5" s="168"/>
      <c r="Q5" s="168"/>
      <c r="R5" s="168"/>
      <c r="S5" s="168"/>
      <c r="T5" s="168"/>
      <c r="U5" s="168"/>
      <c r="V5" s="168"/>
    </row>
    <row r="6" spans="2:22" ht="13.5" customHeight="1" x14ac:dyDescent="0.15">
      <c r="B6" s="36" t="s">
        <v>86</v>
      </c>
      <c r="G6" s="15" t="s">
        <v>93</v>
      </c>
      <c r="H6" s="108"/>
      <c r="I6" s="133"/>
      <c r="J6" s="168"/>
      <c r="K6" s="168"/>
      <c r="L6" s="168"/>
      <c r="M6" s="168"/>
      <c r="N6" s="168"/>
      <c r="O6" s="168"/>
      <c r="P6" s="168"/>
      <c r="Q6" s="168"/>
      <c r="R6" s="168"/>
      <c r="S6" s="168"/>
      <c r="T6" s="168"/>
      <c r="U6" s="168"/>
      <c r="V6" s="168"/>
    </row>
    <row r="7" spans="2:22" ht="24.75" customHeight="1" thickBot="1" x14ac:dyDescent="0.2">
      <c r="B7" s="22" t="s">
        <v>180</v>
      </c>
      <c r="G7" s="15"/>
      <c r="H7" s="108"/>
      <c r="I7" s="133"/>
      <c r="J7" s="168"/>
      <c r="K7" s="168"/>
      <c r="L7" s="168"/>
      <c r="M7" s="168"/>
      <c r="N7" s="168"/>
      <c r="O7" s="168"/>
      <c r="P7" s="168"/>
      <c r="Q7" s="168"/>
      <c r="R7" s="168"/>
      <c r="S7" s="168"/>
      <c r="T7" s="168"/>
      <c r="U7" s="168"/>
      <c r="V7" s="168"/>
    </row>
    <row r="8" spans="2:22" ht="27" customHeight="1" x14ac:dyDescent="0.15">
      <c r="B8" s="155" t="s">
        <v>142</v>
      </c>
      <c r="C8" s="156"/>
      <c r="D8" s="157"/>
      <c r="E8" s="47">
        <v>2024</v>
      </c>
      <c r="F8" s="105" t="s">
        <v>174</v>
      </c>
      <c r="G8" s="102" t="s">
        <v>164</v>
      </c>
      <c r="H8" s="109"/>
      <c r="I8" s="133"/>
      <c r="J8" s="168"/>
      <c r="K8" s="168"/>
      <c r="L8" s="168"/>
      <c r="M8" s="168"/>
      <c r="N8" s="168"/>
      <c r="O8" s="168"/>
      <c r="P8" s="168"/>
      <c r="Q8" s="168"/>
      <c r="R8" s="168"/>
      <c r="S8" s="168"/>
      <c r="T8" s="168"/>
      <c r="U8" s="168"/>
      <c r="V8" s="168"/>
    </row>
    <row r="9" spans="2:22" ht="27" customHeight="1" x14ac:dyDescent="0.15">
      <c r="B9" s="158" t="s">
        <v>88</v>
      </c>
      <c r="C9" s="159"/>
      <c r="D9" s="160"/>
      <c r="E9" s="78" t="s">
        <v>58</v>
      </c>
      <c r="F9" s="103" t="s">
        <v>169</v>
      </c>
      <c r="G9" s="97" t="s">
        <v>166</v>
      </c>
      <c r="H9" s="109"/>
      <c r="I9" s="133"/>
      <c r="J9" s="168"/>
      <c r="K9" s="168"/>
      <c r="L9" s="168"/>
      <c r="M9" s="168"/>
      <c r="N9" s="168"/>
      <c r="O9" s="168"/>
      <c r="P9" s="168"/>
      <c r="Q9" s="168"/>
      <c r="R9" s="168"/>
      <c r="S9" s="168"/>
      <c r="T9" s="168"/>
      <c r="U9" s="168"/>
      <c r="V9" s="168"/>
    </row>
    <row r="10" spans="2:22" ht="27" customHeight="1" x14ac:dyDescent="0.15">
      <c r="B10" s="158" t="s">
        <v>158</v>
      </c>
      <c r="C10" s="159"/>
      <c r="D10" s="160"/>
      <c r="E10" s="55" t="s">
        <v>119</v>
      </c>
      <c r="F10" s="103" t="s">
        <v>170</v>
      </c>
      <c r="G10" s="98" t="s">
        <v>120</v>
      </c>
      <c r="H10" s="110"/>
      <c r="I10" s="133"/>
      <c r="J10" s="168"/>
      <c r="K10" s="168"/>
      <c r="L10" s="168"/>
      <c r="M10" s="168"/>
      <c r="N10" s="168"/>
      <c r="O10" s="168"/>
      <c r="P10" s="168"/>
      <c r="Q10" s="168"/>
      <c r="R10" s="168"/>
      <c r="S10" s="168"/>
      <c r="T10" s="168"/>
      <c r="U10" s="168"/>
      <c r="V10" s="168"/>
    </row>
    <row r="11" spans="2:22" ht="27" customHeight="1" x14ac:dyDescent="0.15">
      <c r="B11" s="158" t="s">
        <v>159</v>
      </c>
      <c r="C11" s="159"/>
      <c r="D11" s="160"/>
      <c r="E11" s="93">
        <v>1</v>
      </c>
      <c r="F11" s="103" t="s">
        <v>171</v>
      </c>
      <c r="G11" s="99" t="s">
        <v>130</v>
      </c>
      <c r="H11" s="110"/>
      <c r="I11" s="133"/>
      <c r="J11" s="168"/>
      <c r="K11" s="168"/>
      <c r="L11" s="168"/>
      <c r="M11" s="168"/>
      <c r="N11" s="168"/>
      <c r="O11" s="168"/>
      <c r="P11" s="168"/>
      <c r="Q11" s="168"/>
      <c r="R11" s="168"/>
      <c r="S11" s="168"/>
      <c r="T11" s="168"/>
      <c r="U11" s="168"/>
      <c r="V11" s="168"/>
    </row>
    <row r="12" spans="2:22" ht="27" customHeight="1" x14ac:dyDescent="0.15">
      <c r="B12" s="158" t="s">
        <v>151</v>
      </c>
      <c r="C12" s="159"/>
      <c r="D12" s="160"/>
      <c r="E12" s="125">
        <v>2</v>
      </c>
      <c r="F12" s="103" t="s">
        <v>172</v>
      </c>
      <c r="G12" s="100" t="s">
        <v>154</v>
      </c>
      <c r="H12" s="111"/>
      <c r="I12" s="133"/>
      <c r="J12" s="84"/>
      <c r="K12" s="84"/>
      <c r="L12" s="84"/>
      <c r="M12" s="84"/>
      <c r="N12" s="84"/>
      <c r="O12" s="84"/>
      <c r="P12" s="84"/>
      <c r="Q12" s="84"/>
      <c r="R12" s="84"/>
      <c r="S12" s="84"/>
      <c r="T12" s="84"/>
      <c r="U12" s="84"/>
      <c r="V12" s="84"/>
    </row>
    <row r="13" spans="2:22" ht="27" customHeight="1" thickBot="1" x14ac:dyDescent="0.2">
      <c r="B13" s="170" t="s">
        <v>191</v>
      </c>
      <c r="C13" s="171"/>
      <c r="D13" s="172"/>
      <c r="E13" s="122" t="s">
        <v>192</v>
      </c>
      <c r="F13" s="104" t="s">
        <v>173</v>
      </c>
      <c r="G13" s="101" t="s">
        <v>145</v>
      </c>
      <c r="H13" s="111"/>
      <c r="I13" s="133"/>
      <c r="J13" s="94"/>
      <c r="K13" s="94"/>
      <c r="L13" s="94"/>
      <c r="M13" s="94"/>
      <c r="N13" s="94"/>
      <c r="O13" s="94"/>
      <c r="P13" s="94"/>
      <c r="Q13" s="94"/>
      <c r="R13" s="94"/>
      <c r="S13" s="94"/>
      <c r="T13" s="94"/>
      <c r="U13" s="94"/>
      <c r="V13" s="94"/>
    </row>
    <row r="14" spans="2:22" ht="17.25" customHeight="1" x14ac:dyDescent="0.15">
      <c r="B14" s="37" t="s">
        <v>89</v>
      </c>
      <c r="C14" s="17"/>
      <c r="D14" s="17"/>
      <c r="E14" s="17"/>
      <c r="I14" s="133"/>
      <c r="J14" s="46"/>
      <c r="K14" s="46"/>
      <c r="L14" s="46"/>
      <c r="M14" s="46"/>
      <c r="N14" s="46"/>
      <c r="O14" s="46"/>
      <c r="P14" s="46"/>
      <c r="Q14" s="46"/>
      <c r="R14" s="46"/>
      <c r="S14" s="46"/>
      <c r="T14" s="46"/>
      <c r="U14" s="46"/>
      <c r="V14" s="46"/>
    </row>
    <row r="15" spans="2:22" ht="24" customHeight="1" x14ac:dyDescent="0.15">
      <c r="B15" s="22" t="s">
        <v>90</v>
      </c>
      <c r="C15" s="17"/>
      <c r="D15" s="17"/>
      <c r="E15" s="16"/>
      <c r="I15" s="133"/>
      <c r="J15" s="46"/>
      <c r="K15" s="46"/>
      <c r="L15" s="46"/>
      <c r="M15" s="46"/>
      <c r="N15" s="46"/>
      <c r="O15" s="46"/>
      <c r="P15" s="46"/>
      <c r="Q15" s="46"/>
      <c r="R15" s="46"/>
      <c r="S15" s="46"/>
      <c r="T15" s="46"/>
      <c r="U15" s="46"/>
      <c r="V15" s="46"/>
    </row>
    <row r="16" spans="2:22" ht="24" customHeight="1" thickBot="1" x14ac:dyDescent="0.2">
      <c r="B16" s="22" t="s">
        <v>178</v>
      </c>
      <c r="C16" s="17"/>
      <c r="D16" s="17"/>
      <c r="E16" s="16"/>
      <c r="I16" s="133"/>
      <c r="J16" s="46"/>
      <c r="K16" s="46"/>
      <c r="L16" s="46"/>
      <c r="M16" s="46"/>
      <c r="N16" s="46"/>
      <c r="O16" s="46"/>
      <c r="P16" s="46"/>
      <c r="Q16" s="46"/>
      <c r="R16" s="46"/>
      <c r="S16" s="46"/>
      <c r="T16" s="46"/>
      <c r="U16" s="46"/>
      <c r="V16" s="46"/>
    </row>
    <row r="17" spans="2:22" ht="27" customHeight="1" thickBot="1" x14ac:dyDescent="0.2">
      <c r="B17" s="18" t="s">
        <v>34</v>
      </c>
      <c r="C17" s="161" t="s">
        <v>31</v>
      </c>
      <c r="D17" s="162"/>
      <c r="E17" s="19" t="s">
        <v>9</v>
      </c>
      <c r="F17" s="68" t="s">
        <v>10</v>
      </c>
      <c r="G17" s="21" t="s">
        <v>11</v>
      </c>
      <c r="H17" s="112"/>
      <c r="I17" s="133"/>
    </row>
    <row r="18" spans="2:22" ht="27" customHeight="1" thickTop="1" x14ac:dyDescent="0.15">
      <c r="B18" s="14" t="s">
        <v>36</v>
      </c>
      <c r="C18" s="139" t="s">
        <v>75</v>
      </c>
      <c r="D18" s="140"/>
      <c r="E18" s="29">
        <v>2487200</v>
      </c>
      <c r="F18" s="69">
        <v>0</v>
      </c>
      <c r="G18" s="58"/>
      <c r="H18" s="113"/>
      <c r="I18" s="133"/>
    </row>
    <row r="19" spans="2:22" ht="27" customHeight="1" x14ac:dyDescent="0.15">
      <c r="B19" s="2" t="s">
        <v>37</v>
      </c>
      <c r="C19" s="145" t="s">
        <v>4</v>
      </c>
      <c r="D19" s="10" t="s">
        <v>17</v>
      </c>
      <c r="E19" s="23" t="s">
        <v>65</v>
      </c>
      <c r="F19" s="70" t="s">
        <v>65</v>
      </c>
      <c r="G19" s="59" t="s">
        <v>65</v>
      </c>
      <c r="H19" s="114"/>
      <c r="I19" s="133"/>
    </row>
    <row r="20" spans="2:22" ht="27" customHeight="1" x14ac:dyDescent="0.15">
      <c r="B20" s="2" t="s">
        <v>38</v>
      </c>
      <c r="C20" s="145"/>
      <c r="D20" s="10" t="s">
        <v>106</v>
      </c>
      <c r="E20" s="23" t="s">
        <v>65</v>
      </c>
      <c r="F20" s="70" t="s">
        <v>65</v>
      </c>
      <c r="G20" s="59" t="s">
        <v>65</v>
      </c>
      <c r="H20" s="114"/>
      <c r="I20" s="133"/>
    </row>
    <row r="21" spans="2:22" ht="27" customHeight="1" x14ac:dyDescent="0.15">
      <c r="B21" s="2" t="s">
        <v>39</v>
      </c>
      <c r="C21" s="143" t="s">
        <v>5</v>
      </c>
      <c r="D21" s="144"/>
      <c r="E21" s="32">
        <v>27485</v>
      </c>
      <c r="F21" s="71">
        <v>28043</v>
      </c>
      <c r="G21" s="34">
        <v>38504</v>
      </c>
      <c r="H21" s="115"/>
      <c r="I21" s="133"/>
    </row>
    <row r="22" spans="2:22" ht="27" customHeight="1" x14ac:dyDescent="0.15">
      <c r="B22" s="2" t="s">
        <v>40</v>
      </c>
      <c r="C22" s="180" t="s">
        <v>179</v>
      </c>
      <c r="D22" s="181"/>
      <c r="E22" s="23" t="s">
        <v>61</v>
      </c>
      <c r="F22" s="70" t="s">
        <v>61</v>
      </c>
      <c r="G22" s="59" t="s">
        <v>61</v>
      </c>
      <c r="H22" s="114"/>
      <c r="I22" s="133"/>
    </row>
    <row r="23" spans="2:22" ht="27" customHeight="1" x14ac:dyDescent="0.15">
      <c r="B23" s="2" t="s">
        <v>42</v>
      </c>
      <c r="C23" s="139" t="s">
        <v>76</v>
      </c>
      <c r="D23" s="140"/>
      <c r="E23" s="29">
        <v>0</v>
      </c>
      <c r="F23" s="69">
        <v>0</v>
      </c>
      <c r="G23" s="58"/>
      <c r="H23" s="113"/>
      <c r="I23" s="133"/>
    </row>
    <row r="24" spans="2:22" ht="27" customHeight="1" x14ac:dyDescent="0.15">
      <c r="B24" s="2" t="s">
        <v>44</v>
      </c>
      <c r="C24" s="139" t="s">
        <v>2</v>
      </c>
      <c r="D24" s="140"/>
      <c r="E24" s="23" t="s">
        <v>65</v>
      </c>
      <c r="F24" s="70" t="s">
        <v>65</v>
      </c>
      <c r="G24" s="59" t="s">
        <v>65</v>
      </c>
      <c r="H24" s="114"/>
      <c r="I24" s="133"/>
    </row>
    <row r="25" spans="2:22" ht="27" customHeight="1" x14ac:dyDescent="0.15">
      <c r="B25" s="2" t="s">
        <v>45</v>
      </c>
      <c r="C25" s="145" t="s">
        <v>3</v>
      </c>
      <c r="D25" s="10" t="s">
        <v>77</v>
      </c>
      <c r="E25" s="26">
        <v>1</v>
      </c>
      <c r="F25" s="72">
        <v>0</v>
      </c>
      <c r="G25" s="60"/>
      <c r="H25" s="116"/>
      <c r="I25" s="133"/>
      <c r="J25" s="168" t="s">
        <v>202</v>
      </c>
      <c r="K25" s="168"/>
      <c r="L25" s="168"/>
      <c r="M25" s="168"/>
      <c r="N25" s="168"/>
      <c r="O25" s="168"/>
      <c r="P25" s="168"/>
      <c r="Q25" s="168"/>
      <c r="R25" s="168"/>
      <c r="S25" s="168"/>
      <c r="T25" s="168"/>
      <c r="U25" s="168"/>
      <c r="V25" s="168"/>
    </row>
    <row r="26" spans="2:22" ht="27" customHeight="1" x14ac:dyDescent="0.15">
      <c r="B26" s="2" t="s">
        <v>46</v>
      </c>
      <c r="C26" s="145"/>
      <c r="D26" s="10" t="s">
        <v>78</v>
      </c>
      <c r="E26" s="26">
        <v>0</v>
      </c>
      <c r="F26" s="72">
        <v>0</v>
      </c>
      <c r="G26" s="60"/>
      <c r="H26" s="116"/>
      <c r="I26" s="133"/>
      <c r="J26" s="168"/>
      <c r="K26" s="168"/>
      <c r="L26" s="168"/>
      <c r="M26" s="168"/>
      <c r="N26" s="168"/>
      <c r="O26" s="168"/>
      <c r="P26" s="168"/>
      <c r="Q26" s="168"/>
      <c r="R26" s="168"/>
      <c r="S26" s="168"/>
      <c r="T26" s="168"/>
      <c r="U26" s="168"/>
      <c r="V26" s="168"/>
    </row>
    <row r="27" spans="2:22" ht="27" customHeight="1" x14ac:dyDescent="0.15">
      <c r="B27" s="2" t="s">
        <v>47</v>
      </c>
      <c r="C27" s="145"/>
      <c r="D27" s="10" t="s">
        <v>79</v>
      </c>
      <c r="E27" s="26">
        <v>0</v>
      </c>
      <c r="F27" s="72">
        <v>0</v>
      </c>
      <c r="G27" s="60"/>
      <c r="H27" s="116"/>
      <c r="I27" s="133"/>
      <c r="J27" s="168"/>
      <c r="K27" s="168"/>
      <c r="L27" s="168"/>
      <c r="M27" s="168"/>
      <c r="N27" s="168"/>
      <c r="O27" s="168"/>
      <c r="P27" s="168"/>
      <c r="Q27" s="168"/>
      <c r="R27" s="168"/>
      <c r="S27" s="168"/>
      <c r="T27" s="168"/>
      <c r="U27" s="168"/>
      <c r="V27" s="168"/>
    </row>
    <row r="28" spans="2:22" ht="27" customHeight="1" x14ac:dyDescent="0.15">
      <c r="B28" s="2" t="s">
        <v>48</v>
      </c>
      <c r="C28" s="139" t="s">
        <v>80</v>
      </c>
      <c r="D28" s="140"/>
      <c r="E28" s="26">
        <v>1</v>
      </c>
      <c r="F28" s="72">
        <v>0</v>
      </c>
      <c r="G28" s="60"/>
      <c r="H28" s="116"/>
      <c r="I28" s="133"/>
      <c r="J28" s="168"/>
      <c r="K28" s="168"/>
      <c r="L28" s="168"/>
      <c r="M28" s="168"/>
      <c r="N28" s="168"/>
      <c r="O28" s="168"/>
      <c r="P28" s="168"/>
      <c r="Q28" s="168"/>
      <c r="R28" s="168"/>
      <c r="S28" s="168"/>
      <c r="T28" s="168"/>
      <c r="U28" s="168"/>
      <c r="V28" s="168"/>
    </row>
    <row r="29" spans="2:22" ht="27" customHeight="1" x14ac:dyDescent="0.15">
      <c r="B29" s="2" t="s">
        <v>51</v>
      </c>
      <c r="C29" s="139" t="s">
        <v>81</v>
      </c>
      <c r="D29" s="140"/>
      <c r="E29" s="29">
        <v>929000</v>
      </c>
      <c r="F29" s="69">
        <v>0</v>
      </c>
      <c r="G29" s="58"/>
      <c r="H29" s="113"/>
      <c r="I29" s="133"/>
      <c r="J29" s="168"/>
      <c r="K29" s="168"/>
      <c r="L29" s="168"/>
      <c r="M29" s="168"/>
      <c r="N29" s="168"/>
      <c r="O29" s="168"/>
      <c r="P29" s="168"/>
      <c r="Q29" s="168"/>
      <c r="R29" s="168"/>
      <c r="S29" s="168"/>
      <c r="T29" s="168"/>
      <c r="U29" s="168"/>
      <c r="V29" s="168"/>
    </row>
    <row r="30" spans="2:22" ht="27" customHeight="1" x14ac:dyDescent="0.15">
      <c r="B30" s="2" t="s">
        <v>53</v>
      </c>
      <c r="C30" s="139" t="s">
        <v>82</v>
      </c>
      <c r="D30" s="140"/>
      <c r="E30" s="29">
        <v>6000</v>
      </c>
      <c r="F30" s="69">
        <v>0</v>
      </c>
      <c r="G30" s="58"/>
      <c r="H30" s="113"/>
      <c r="I30" s="133"/>
      <c r="J30" s="168"/>
      <c r="K30" s="168"/>
      <c r="L30" s="168"/>
      <c r="M30" s="168"/>
      <c r="N30" s="168"/>
      <c r="O30" s="168"/>
      <c r="P30" s="168"/>
      <c r="Q30" s="168"/>
      <c r="R30" s="168"/>
      <c r="S30" s="168"/>
      <c r="T30" s="168"/>
      <c r="U30" s="168"/>
      <c r="V30" s="168"/>
    </row>
    <row r="31" spans="2:22" ht="27" customHeight="1" x14ac:dyDescent="0.15">
      <c r="B31" s="2" t="s">
        <v>53</v>
      </c>
      <c r="C31" s="139" t="s">
        <v>135</v>
      </c>
      <c r="D31" s="140"/>
      <c r="E31" s="29"/>
      <c r="F31" s="106"/>
      <c r="G31" s="58"/>
      <c r="H31" s="113"/>
      <c r="I31" s="133"/>
      <c r="J31" s="168"/>
      <c r="K31" s="168"/>
      <c r="L31" s="168"/>
      <c r="M31" s="168"/>
      <c r="N31" s="168"/>
      <c r="O31" s="168"/>
      <c r="P31" s="168"/>
      <c r="Q31" s="168"/>
      <c r="R31" s="168"/>
      <c r="S31" s="168"/>
      <c r="T31" s="168"/>
      <c r="U31" s="168"/>
      <c r="V31" s="168"/>
    </row>
    <row r="32" spans="2:22" ht="27" customHeight="1" x14ac:dyDescent="0.15">
      <c r="B32" s="2" t="s">
        <v>54</v>
      </c>
      <c r="C32" s="139" t="s">
        <v>7</v>
      </c>
      <c r="D32" s="140"/>
      <c r="E32" s="23" t="s">
        <v>64</v>
      </c>
      <c r="F32" s="73" t="s">
        <v>63</v>
      </c>
      <c r="G32" s="58"/>
      <c r="H32" s="113"/>
      <c r="I32" s="133"/>
      <c r="J32" s="168"/>
      <c r="K32" s="168"/>
      <c r="L32" s="168"/>
      <c r="M32" s="168"/>
      <c r="N32" s="168"/>
      <c r="O32" s="168"/>
      <c r="P32" s="168"/>
      <c r="Q32" s="168"/>
      <c r="R32" s="168"/>
      <c r="S32" s="168"/>
      <c r="T32" s="168"/>
      <c r="U32" s="168"/>
      <c r="V32" s="168"/>
    </row>
    <row r="33" spans="2:22" ht="27" hidden="1" customHeight="1" thickBot="1" x14ac:dyDescent="0.2">
      <c r="B33" s="48">
        <v>4</v>
      </c>
      <c r="C33" s="147" t="s">
        <v>108</v>
      </c>
      <c r="D33" s="148"/>
      <c r="E33" s="51">
        <v>2</v>
      </c>
      <c r="F33" s="74">
        <v>0</v>
      </c>
      <c r="G33" s="61" t="s">
        <v>63</v>
      </c>
      <c r="H33" s="114"/>
      <c r="I33" s="133"/>
      <c r="J33" s="168"/>
      <c r="K33" s="168"/>
      <c r="L33" s="168"/>
      <c r="M33" s="168"/>
      <c r="N33" s="168"/>
      <c r="O33" s="168"/>
      <c r="P33" s="168"/>
      <c r="Q33" s="168"/>
      <c r="R33" s="168"/>
      <c r="S33" s="168"/>
      <c r="T33" s="168"/>
      <c r="U33" s="168"/>
      <c r="V33" s="168"/>
    </row>
    <row r="34" spans="2:22" ht="27" customHeight="1" x14ac:dyDescent="0.15">
      <c r="B34" s="2" t="s">
        <v>41</v>
      </c>
      <c r="C34" s="146" t="s">
        <v>35</v>
      </c>
      <c r="D34" s="144"/>
      <c r="E34" s="8">
        <v>0</v>
      </c>
      <c r="F34" s="75">
        <v>0</v>
      </c>
      <c r="G34" s="62">
        <v>0</v>
      </c>
      <c r="H34" s="113"/>
      <c r="I34" s="133"/>
      <c r="J34" s="168"/>
      <c r="K34" s="168"/>
      <c r="L34" s="168"/>
      <c r="M34" s="168"/>
      <c r="N34" s="168"/>
      <c r="O34" s="168"/>
      <c r="P34" s="168"/>
      <c r="Q34" s="168"/>
      <c r="R34" s="168"/>
      <c r="S34" s="168"/>
      <c r="T34" s="168"/>
      <c r="U34" s="168"/>
      <c r="V34" s="168"/>
    </row>
    <row r="35" spans="2:22" ht="27" customHeight="1" x14ac:dyDescent="0.15">
      <c r="B35" s="2" t="s">
        <v>43</v>
      </c>
      <c r="C35" s="143" t="s">
        <v>83</v>
      </c>
      <c r="D35" s="144"/>
      <c r="E35" s="8">
        <v>2487200</v>
      </c>
      <c r="F35" s="75">
        <v>0</v>
      </c>
      <c r="G35" s="62">
        <v>0</v>
      </c>
      <c r="H35" s="113"/>
      <c r="I35" s="133"/>
      <c r="J35" s="168"/>
      <c r="K35" s="168"/>
      <c r="L35" s="168"/>
      <c r="M35" s="168"/>
      <c r="N35" s="168"/>
      <c r="O35" s="168"/>
      <c r="P35" s="168"/>
      <c r="Q35" s="168"/>
      <c r="R35" s="168"/>
      <c r="S35" s="168"/>
      <c r="T35" s="168"/>
      <c r="U35" s="168"/>
      <c r="V35" s="168"/>
    </row>
    <row r="36" spans="2:22" ht="27" customHeight="1" x14ac:dyDescent="0.15">
      <c r="B36" s="2" t="s">
        <v>49</v>
      </c>
      <c r="C36" s="139" t="s">
        <v>84</v>
      </c>
      <c r="D36" s="140"/>
      <c r="E36" s="11">
        <v>2</v>
      </c>
      <c r="F36" s="76">
        <v>0</v>
      </c>
      <c r="G36" s="63">
        <v>0</v>
      </c>
      <c r="H36" s="117"/>
      <c r="I36" s="133"/>
      <c r="J36" s="168"/>
      <c r="K36" s="168"/>
      <c r="L36" s="168"/>
      <c r="M36" s="168"/>
      <c r="N36" s="168"/>
      <c r="O36" s="168"/>
      <c r="P36" s="168"/>
      <c r="Q36" s="168"/>
      <c r="R36" s="168"/>
      <c r="S36" s="168"/>
      <c r="T36" s="168"/>
      <c r="U36" s="168"/>
      <c r="V36" s="168"/>
    </row>
    <row r="37" spans="2:22" ht="27" customHeight="1" x14ac:dyDescent="0.15">
      <c r="B37" s="2" t="s">
        <v>50</v>
      </c>
      <c r="C37" s="145" t="s">
        <v>85</v>
      </c>
      <c r="D37" s="140"/>
      <c r="E37" s="9">
        <v>1470000</v>
      </c>
      <c r="F37" s="69">
        <v>350000</v>
      </c>
      <c r="G37" s="58">
        <v>0</v>
      </c>
      <c r="H37" s="113"/>
      <c r="I37" s="133"/>
      <c r="J37" s="168"/>
      <c r="K37" s="168"/>
      <c r="L37" s="168"/>
      <c r="M37" s="168"/>
      <c r="N37" s="168"/>
      <c r="O37" s="168"/>
      <c r="P37" s="168"/>
      <c r="Q37" s="168"/>
      <c r="R37" s="168"/>
      <c r="S37" s="168"/>
      <c r="T37" s="168"/>
      <c r="U37" s="168"/>
      <c r="V37" s="168"/>
    </row>
    <row r="38" spans="2:22" ht="27" customHeight="1" thickBot="1" x14ac:dyDescent="0.2">
      <c r="B38" s="7" t="s">
        <v>55</v>
      </c>
      <c r="C38" s="173" t="s">
        <v>175</v>
      </c>
      <c r="D38" s="174"/>
      <c r="E38" s="38">
        <v>51200</v>
      </c>
      <c r="F38" s="77">
        <v>0</v>
      </c>
      <c r="G38" s="64">
        <v>0</v>
      </c>
      <c r="H38" s="113"/>
      <c r="I38" s="133"/>
      <c r="J38" s="168"/>
      <c r="K38" s="168"/>
      <c r="L38" s="168"/>
      <c r="M38" s="168"/>
      <c r="N38" s="168"/>
      <c r="O38" s="168"/>
      <c r="P38" s="168"/>
      <c r="Q38" s="168"/>
      <c r="R38" s="168"/>
      <c r="S38" s="168"/>
      <c r="T38" s="168"/>
      <c r="U38" s="168"/>
      <c r="V38" s="168"/>
    </row>
    <row r="39" spans="2:22" ht="27" customHeight="1" thickTop="1" thickBot="1" x14ac:dyDescent="0.2">
      <c r="B39" s="48">
        <v>4</v>
      </c>
      <c r="C39" s="169" t="s">
        <v>176</v>
      </c>
      <c r="D39" s="150"/>
      <c r="E39" s="151">
        <v>51200</v>
      </c>
      <c r="F39" s="152"/>
      <c r="G39" s="153"/>
      <c r="H39" s="118"/>
      <c r="I39" s="133"/>
      <c r="J39" s="168"/>
      <c r="K39" s="168"/>
      <c r="L39" s="168"/>
      <c r="M39" s="168"/>
      <c r="N39" s="168"/>
      <c r="O39" s="168"/>
      <c r="P39" s="168"/>
      <c r="Q39" s="168"/>
      <c r="R39" s="168"/>
      <c r="S39" s="168"/>
      <c r="T39" s="168"/>
      <c r="U39" s="168"/>
      <c r="V39" s="168"/>
    </row>
    <row r="40" spans="2:22" ht="27" customHeight="1" thickTop="1" thickBot="1" x14ac:dyDescent="0.2">
      <c r="B40" s="39"/>
      <c r="C40" s="175" t="s">
        <v>177</v>
      </c>
      <c r="D40" s="176"/>
      <c r="E40" s="177" t="s">
        <v>133</v>
      </c>
      <c r="F40" s="178"/>
      <c r="G40" s="179"/>
      <c r="H40" s="17"/>
      <c r="I40" s="135"/>
      <c r="J40" s="168"/>
      <c r="K40" s="168"/>
      <c r="L40" s="168"/>
      <c r="M40" s="168"/>
      <c r="N40" s="168"/>
      <c r="O40" s="168"/>
      <c r="P40" s="168"/>
      <c r="Q40" s="168"/>
      <c r="R40" s="168"/>
      <c r="S40" s="168"/>
      <c r="T40" s="168"/>
      <c r="U40" s="168"/>
      <c r="V40" s="168"/>
    </row>
    <row r="41" spans="2:22" x14ac:dyDescent="0.15">
      <c r="I41" s="133"/>
      <c r="J41" s="168"/>
      <c r="K41" s="168"/>
      <c r="L41" s="168"/>
      <c r="M41" s="168"/>
      <c r="N41" s="168"/>
      <c r="O41" s="168"/>
      <c r="P41" s="168"/>
      <c r="Q41" s="168"/>
      <c r="R41" s="168"/>
      <c r="S41" s="168"/>
      <c r="T41" s="168"/>
      <c r="U41" s="168"/>
      <c r="V41" s="168"/>
    </row>
    <row r="42" spans="2:22" x14ac:dyDescent="0.15">
      <c r="B42" s="127"/>
      <c r="I42" s="133"/>
      <c r="J42" s="168"/>
      <c r="K42" s="168"/>
      <c r="L42" s="168"/>
      <c r="M42" s="168"/>
      <c r="N42" s="168"/>
      <c r="O42" s="168"/>
      <c r="P42" s="168"/>
      <c r="Q42" s="168"/>
      <c r="R42" s="168"/>
      <c r="S42" s="168"/>
      <c r="T42" s="168"/>
      <c r="U42" s="168"/>
      <c r="V42" s="168"/>
    </row>
    <row r="43" spans="2:22" x14ac:dyDescent="0.15">
      <c r="I43" s="133"/>
    </row>
    <row r="44" spans="2:22" x14ac:dyDescent="0.15">
      <c r="I44" s="134"/>
    </row>
    <row r="45" spans="2:22" x14ac:dyDescent="0.15">
      <c r="I45" s="57"/>
    </row>
    <row r="46" spans="2:22" x14ac:dyDescent="0.15">
      <c r="I46" s="57"/>
    </row>
    <row r="47" spans="2:22" x14ac:dyDescent="0.15">
      <c r="I47" s="57"/>
    </row>
    <row r="48" spans="2:22" x14ac:dyDescent="0.15">
      <c r="I48" s="57"/>
    </row>
    <row r="49" spans="9:9" x14ac:dyDescent="0.15">
      <c r="I49" s="57"/>
    </row>
    <row r="50" spans="9:9" x14ac:dyDescent="0.15">
      <c r="I50" s="57"/>
    </row>
    <row r="51" spans="9:9" x14ac:dyDescent="0.15">
      <c r="I51" s="57"/>
    </row>
    <row r="52" spans="9:9" x14ac:dyDescent="0.15">
      <c r="I52" s="57"/>
    </row>
    <row r="53" spans="9:9" x14ac:dyDescent="0.15">
      <c r="I53" s="57"/>
    </row>
    <row r="54" spans="9:9" x14ac:dyDescent="0.15">
      <c r="I54" s="57"/>
    </row>
    <row r="55" spans="9:9" x14ac:dyDescent="0.15">
      <c r="I55" s="57"/>
    </row>
    <row r="56" spans="9:9" x14ac:dyDescent="0.15">
      <c r="I56" s="57"/>
    </row>
    <row r="57" spans="9:9" x14ac:dyDescent="0.15">
      <c r="I57" s="57"/>
    </row>
    <row r="58" spans="9:9" x14ac:dyDescent="0.15">
      <c r="I58" s="57"/>
    </row>
    <row r="59" spans="9:9" x14ac:dyDescent="0.15">
      <c r="I59" s="57"/>
    </row>
    <row r="60" spans="9:9" x14ac:dyDescent="0.15">
      <c r="I60" s="57"/>
    </row>
  </sheetData>
  <protectedRanges>
    <protectedRange sqref="E30 E32:F33" name="範囲2"/>
    <protectedRange sqref="E10:E12" name="範囲1_4"/>
    <protectedRange sqref="G10:H11" name="範囲3"/>
    <protectedRange sqref="E31:H31" name="範囲2_1"/>
  </protectedRanges>
  <mergeCells count="31">
    <mergeCell ref="J5:V11"/>
    <mergeCell ref="C36:D36"/>
    <mergeCell ref="C37:D37"/>
    <mergeCell ref="C38:D38"/>
    <mergeCell ref="C40:D40"/>
    <mergeCell ref="E40:G40"/>
    <mergeCell ref="C35:D35"/>
    <mergeCell ref="C21:D21"/>
    <mergeCell ref="C22:D22"/>
    <mergeCell ref="C23:D23"/>
    <mergeCell ref="C24:D24"/>
    <mergeCell ref="C25:C27"/>
    <mergeCell ref="C34:D34"/>
    <mergeCell ref="C19:C20"/>
    <mergeCell ref="B8:D8"/>
    <mergeCell ref="B9:D9"/>
    <mergeCell ref="B11:D11"/>
    <mergeCell ref="C17:D17"/>
    <mergeCell ref="C18:D18"/>
    <mergeCell ref="B10:D10"/>
    <mergeCell ref="B12:D12"/>
    <mergeCell ref="B13:D13"/>
    <mergeCell ref="J25:V42"/>
    <mergeCell ref="C28:D28"/>
    <mergeCell ref="C29:D29"/>
    <mergeCell ref="C30:D30"/>
    <mergeCell ref="C32:D32"/>
    <mergeCell ref="C33:D33"/>
    <mergeCell ref="C31:D31"/>
    <mergeCell ref="C39:D39"/>
    <mergeCell ref="E39:G39"/>
  </mergeCells>
  <phoneticPr fontId="1"/>
  <dataValidations count="1">
    <dataValidation type="whole" allowBlank="1" showInputMessage="1" showErrorMessage="1" sqref="E12">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1" man="1"/>
  </colBreaks>
  <drawing r:id="rId2"/>
  <extLst>
    <ext xmlns:x14="http://schemas.microsoft.com/office/spreadsheetml/2009/9/main" uri="{78C0D931-6437-407d-A8EE-F0AAD7539E65}">
      <x14:conditionalFormattings>
        <x14:conditionalFormatting xmlns:xm="http://schemas.microsoft.com/office/excel/2006/main">
          <x14:cfRule type="expression" priority="25" id="{9E593285-F7B1-4D58-A2CA-2538A5B6390A}">
            <xm:f>計算シート!$B$2=3</xm:f>
            <x14:dxf>
              <fill>
                <patternFill>
                  <bgColor theme="1"/>
                </patternFill>
              </fill>
            </x14:dxf>
          </x14:cfRule>
          <xm:sqref>E17:F29 E34:F38 F30</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F17:F30 F34:F38</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 xmlns:xm="http://schemas.microsoft.com/office/excel/2006/main">
          <x14:cfRule type="expression" priority="20" id="{E5DE7C8E-A667-4291-8B69-95158A2169AE}">
            <xm:f>計算シート!$B$2=3</xm:f>
            <x14:dxf>
              <fill>
                <patternFill>
                  <bgColor theme="1"/>
                </patternFill>
              </fill>
            </x14:dxf>
          </x14:cfRule>
          <xm:sqref>E30 E32:E33</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18" id="{9349B5A1-D7F6-439A-8782-D01F9F0DD8EE}">
            <xm:f>計算シート!$B$2=3</xm:f>
            <x14:dxf>
              <fill>
                <patternFill>
                  <bgColor theme="1"/>
                </patternFill>
              </fill>
            </x14:dxf>
          </x14:cfRule>
          <xm:sqref>F33</xm:sqref>
        </x14:conditionalFormatting>
        <x14:conditionalFormatting xmlns:xm="http://schemas.microsoft.com/office/excel/2006/main">
          <x14:cfRule type="expression" priority="17" id="{1BE77D9E-2DB3-44FC-B0AA-497046FA82A5}">
            <xm:f>計算シート!$B$2=3</xm:f>
            <x14:dxf>
              <fill>
                <patternFill>
                  <bgColor theme="1"/>
                </patternFill>
              </fill>
            </x14:dxf>
          </x14:cfRule>
          <xm:sqref>F32</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E31:F31</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F31</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リストボックス!$G$2:$G$3</xm:f>
          </x14:formula1>
          <xm:sqref>E32:F32</xm:sqref>
        </x14:dataValidation>
        <x14:dataValidation type="list" allowBlank="1" showInputMessage="1" showErrorMessage="1">
          <x14:formula1>
            <xm:f>リストボックス!$A$2:$A$4</xm:f>
          </x14:formula1>
          <xm:sqref>E11</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14:formula1>
            <xm:f>リストボックス!$Y$7</xm:f>
          </x14:formula1>
          <xm:sqref>E8</xm:sqref>
        </x14:dataValidation>
        <x14:dataValidation type="list" allowBlank="1" showInputMessage="1" showErrorMessage="1">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workbookViewId="0">
      <selection activeCell="M3" sqref="M3:N3"/>
    </sheetView>
  </sheetViews>
  <sheetFormatPr defaultRowHeight="13.5" x14ac:dyDescent="0.15"/>
  <cols>
    <col min="21" max="21" width="14.5" style="79"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114</v>
      </c>
      <c r="P1" t="s">
        <v>115</v>
      </c>
      <c r="Q1" t="s">
        <v>118</v>
      </c>
      <c r="R1" t="s">
        <v>56</v>
      </c>
      <c r="S1" t="s">
        <v>127</v>
      </c>
      <c r="T1" t="s">
        <v>128</v>
      </c>
      <c r="U1" s="79" t="s">
        <v>165</v>
      </c>
      <c r="W1" t="s">
        <v>143</v>
      </c>
      <c r="Y1" t="s">
        <v>152</v>
      </c>
      <c r="Z1" t="s">
        <v>153</v>
      </c>
      <c r="AB1" t="s">
        <v>162</v>
      </c>
      <c r="AD1" t="s">
        <v>191</v>
      </c>
    </row>
    <row r="2" spans="1:31" x14ac:dyDescent="0.15">
      <c r="A2">
        <v>2</v>
      </c>
      <c r="B2">
        <v>1</v>
      </c>
      <c r="C2" t="s">
        <v>58</v>
      </c>
      <c r="D2">
        <v>1</v>
      </c>
      <c r="E2" t="s">
        <v>61</v>
      </c>
      <c r="F2">
        <v>0</v>
      </c>
      <c r="G2" t="s">
        <v>63</v>
      </c>
      <c r="H2">
        <v>0</v>
      </c>
      <c r="I2" t="s">
        <v>65</v>
      </c>
      <c r="J2">
        <v>0</v>
      </c>
      <c r="K2" t="s">
        <v>65</v>
      </c>
      <c r="L2">
        <v>0</v>
      </c>
      <c r="M2" t="s">
        <v>65</v>
      </c>
      <c r="N2">
        <v>0</v>
      </c>
      <c r="O2" t="s">
        <v>116</v>
      </c>
      <c r="P2">
        <v>1</v>
      </c>
      <c r="Q2" t="s">
        <v>120</v>
      </c>
      <c r="R2">
        <v>1</v>
      </c>
      <c r="S2" t="s">
        <v>130</v>
      </c>
      <c r="T2">
        <v>1</v>
      </c>
      <c r="U2" s="79" t="s">
        <v>166</v>
      </c>
      <c r="V2">
        <v>1</v>
      </c>
      <c r="W2" t="s">
        <v>144</v>
      </c>
      <c r="X2">
        <v>1</v>
      </c>
      <c r="Y2">
        <v>2019</v>
      </c>
      <c r="Z2" t="s">
        <v>154</v>
      </c>
      <c r="AA2">
        <v>1</v>
      </c>
      <c r="AB2" t="s">
        <v>163</v>
      </c>
      <c r="AC2">
        <v>1</v>
      </c>
      <c r="AD2" s="79" t="s">
        <v>192</v>
      </c>
      <c r="AE2">
        <v>1</v>
      </c>
    </row>
    <row r="3" spans="1:31" x14ac:dyDescent="0.15">
      <c r="A3">
        <v>1</v>
      </c>
      <c r="B3">
        <v>2</v>
      </c>
      <c r="C3" t="s">
        <v>59</v>
      </c>
      <c r="D3">
        <v>3</v>
      </c>
      <c r="E3" t="s">
        <v>62</v>
      </c>
      <c r="F3">
        <v>1</v>
      </c>
      <c r="G3" t="s">
        <v>64</v>
      </c>
      <c r="H3">
        <v>1</v>
      </c>
      <c r="I3" t="s">
        <v>66</v>
      </c>
      <c r="J3">
        <v>1</v>
      </c>
      <c r="K3" t="s">
        <v>69</v>
      </c>
      <c r="L3">
        <v>1</v>
      </c>
      <c r="M3" t="s">
        <v>199</v>
      </c>
      <c r="N3">
        <v>1</v>
      </c>
      <c r="O3" t="s">
        <v>117</v>
      </c>
      <c r="P3">
        <v>2</v>
      </c>
      <c r="Q3" t="s">
        <v>121</v>
      </c>
      <c r="R3">
        <v>2</v>
      </c>
      <c r="S3" t="s">
        <v>131</v>
      </c>
      <c r="T3">
        <v>2</v>
      </c>
      <c r="U3" s="79" t="s">
        <v>167</v>
      </c>
      <c r="V3">
        <v>2</v>
      </c>
      <c r="W3" t="s">
        <v>145</v>
      </c>
      <c r="X3">
        <v>2</v>
      </c>
      <c r="Y3">
        <v>2020</v>
      </c>
      <c r="Z3" t="s">
        <v>155</v>
      </c>
      <c r="AA3">
        <v>2</v>
      </c>
      <c r="AB3" t="s">
        <v>164</v>
      </c>
      <c r="AC3">
        <v>2</v>
      </c>
      <c r="AD3" t="s">
        <v>193</v>
      </c>
      <c r="AE3">
        <v>2</v>
      </c>
    </row>
    <row r="4" spans="1:31" x14ac:dyDescent="0.15">
      <c r="A4" t="s">
        <v>57</v>
      </c>
      <c r="B4">
        <v>3</v>
      </c>
      <c r="C4" t="s">
        <v>60</v>
      </c>
      <c r="D4">
        <v>4</v>
      </c>
      <c r="I4" t="s">
        <v>67</v>
      </c>
      <c r="J4">
        <v>2</v>
      </c>
      <c r="K4" t="s">
        <v>70</v>
      </c>
      <c r="L4">
        <v>2</v>
      </c>
      <c r="M4" t="s">
        <v>98</v>
      </c>
      <c r="N4">
        <v>4</v>
      </c>
      <c r="O4" t="s">
        <v>119</v>
      </c>
      <c r="P4">
        <v>3</v>
      </c>
      <c r="S4" t="s">
        <v>129</v>
      </c>
      <c r="T4">
        <v>0</v>
      </c>
      <c r="Y4">
        <v>2021</v>
      </c>
    </row>
    <row r="5" spans="1:31" x14ac:dyDescent="0.15">
      <c r="C5" t="s">
        <v>87</v>
      </c>
      <c r="D5">
        <v>5</v>
      </c>
      <c r="I5" t="s">
        <v>68</v>
      </c>
      <c r="J5">
        <v>3</v>
      </c>
      <c r="K5" t="s">
        <v>71</v>
      </c>
      <c r="L5">
        <v>3</v>
      </c>
      <c r="M5" t="s">
        <v>72</v>
      </c>
      <c r="N5">
        <v>2</v>
      </c>
      <c r="O5" t="str">
        <f>IF(計算シート!$B$46=0,"給付奨学金","")</f>
        <v>給付奨学金</v>
      </c>
      <c r="P5">
        <v>4</v>
      </c>
      <c r="Y5">
        <v>2022</v>
      </c>
    </row>
    <row r="6" spans="1:31" x14ac:dyDescent="0.15">
      <c r="C6" t="s">
        <v>183</v>
      </c>
      <c r="D6">
        <v>6</v>
      </c>
      <c r="M6" t="s">
        <v>73</v>
      </c>
      <c r="N6">
        <v>3</v>
      </c>
      <c r="Y6">
        <v>2023</v>
      </c>
    </row>
    <row r="7" spans="1:31" x14ac:dyDescent="0.15">
      <c r="C7" t="s">
        <v>184</v>
      </c>
      <c r="D7">
        <v>7</v>
      </c>
      <c r="Y7">
        <v>2024</v>
      </c>
    </row>
    <row r="8" spans="1:31" x14ac:dyDescent="0.15">
      <c r="C8" t="s">
        <v>185</v>
      </c>
      <c r="D8">
        <v>8</v>
      </c>
      <c r="Y8">
        <v>2025</v>
      </c>
    </row>
    <row r="9" spans="1:31" x14ac:dyDescent="0.15">
      <c r="C9" t="s">
        <v>96</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7" workbookViewId="0">
      <selection activeCell="M3" sqref="M3:N3"/>
    </sheetView>
  </sheetViews>
  <sheetFormatPr defaultRowHeight="13.5" x14ac:dyDescent="0.15"/>
  <cols>
    <col min="1" max="1" width="32.875" bestFit="1" customWidth="1"/>
    <col min="2" max="3" width="12.375" bestFit="1" customWidth="1"/>
    <col min="4" max="4" width="14.5" customWidth="1"/>
  </cols>
  <sheetData>
    <row r="1" spans="1:5" x14ac:dyDescent="0.15">
      <c r="A1" s="54"/>
      <c r="B1" s="54" t="s">
        <v>9</v>
      </c>
      <c r="C1" s="54" t="s">
        <v>10</v>
      </c>
      <c r="D1" s="54" t="s">
        <v>13</v>
      </c>
      <c r="E1" t="s">
        <v>149</v>
      </c>
    </row>
    <row r="2" spans="1:5" x14ac:dyDescent="0.15">
      <c r="A2" s="54" t="s">
        <v>32</v>
      </c>
      <c r="B2" s="54">
        <f>IF($B$46=0,VLOOKUP(入力シート!$E$11,リストボックス!$A$1:$B$4,2,0),1)</f>
        <v>1</v>
      </c>
      <c r="C2" s="54"/>
      <c r="D2" s="54"/>
      <c r="E2" s="54"/>
    </row>
    <row r="3" spans="1:5" x14ac:dyDescent="0.15">
      <c r="A3" s="54" t="s">
        <v>30</v>
      </c>
      <c r="B3" s="54">
        <f>VLOOKUP(入力シート!E9,リストボックス!C2:D9,2,0)</f>
        <v>4</v>
      </c>
      <c r="C3" s="54"/>
      <c r="D3" s="54"/>
      <c r="E3" s="54"/>
    </row>
    <row r="4" spans="1:5" x14ac:dyDescent="0.15">
      <c r="A4" s="65" t="s">
        <v>125</v>
      </c>
      <c r="B4" s="54">
        <f>VLOOKUP(入力シート!E10,リストボックス!O1:P5,2,0)</f>
        <v>4</v>
      </c>
      <c r="C4" s="54"/>
      <c r="D4" s="54"/>
      <c r="E4" s="54"/>
    </row>
    <row r="5" spans="1:5" x14ac:dyDescent="0.15">
      <c r="A5" s="65" t="s">
        <v>126</v>
      </c>
      <c r="B5" s="54">
        <f>IFERROR(VLOOKUP(入力シート!G10,リストボックス!Q1:R3,2,0),0)</f>
        <v>1</v>
      </c>
      <c r="C5" s="54"/>
      <c r="D5" s="54"/>
      <c r="E5" s="54"/>
    </row>
    <row r="6" spans="1:5" x14ac:dyDescent="0.15">
      <c r="A6" s="65" t="s">
        <v>132</v>
      </c>
      <c r="B6" s="54">
        <f>IFERROR(VLOOKUP(入力シート!G11,リストボックス!S1:T4,2,0),0)</f>
        <v>1</v>
      </c>
      <c r="C6" s="54"/>
      <c r="D6" s="54"/>
      <c r="E6" s="54"/>
    </row>
    <row r="7" spans="1:5" x14ac:dyDescent="0.15">
      <c r="A7" s="54" t="s">
        <v>74</v>
      </c>
      <c r="B7" s="126">
        <f>DATE(入力シート!E8,4,1)</f>
        <v>45748</v>
      </c>
      <c r="C7" s="54"/>
      <c r="D7" s="54"/>
      <c r="E7" s="54"/>
    </row>
    <row r="8" spans="1:5" x14ac:dyDescent="0.15">
      <c r="A8" s="54" t="s">
        <v>20</v>
      </c>
      <c r="B8" s="126">
        <f>IF(OR(B3=3,B3=7),DATE(YEAR(B7)-1,1,1),DATE(YEAR(B7),1,1))</f>
        <v>45658</v>
      </c>
      <c r="C8" s="54"/>
      <c r="D8" s="54"/>
      <c r="E8" s="54"/>
    </row>
    <row r="9" spans="1:5" x14ac:dyDescent="0.15">
      <c r="A9" s="54" t="s">
        <v>12</v>
      </c>
      <c r="B9" s="54">
        <f>DATEDIF(入力シート!E21,$B$8,"y")</f>
        <v>125</v>
      </c>
      <c r="C9" s="54">
        <f>DATEDIF(入力シート!F21,$B$8,"y")</f>
        <v>125</v>
      </c>
      <c r="D9" s="54">
        <f>DATEDIF(入力シート!G21,$B$8,"y")</f>
        <v>125</v>
      </c>
      <c r="E9" s="54"/>
    </row>
    <row r="10" spans="1:5" x14ac:dyDescent="0.15">
      <c r="A10" s="54" t="s">
        <v>6</v>
      </c>
      <c r="B10" s="54">
        <f>VLOOKUP(入力シート!E22,リストボックス!$E$1:$F$3,2,0)</f>
        <v>0</v>
      </c>
      <c r="C10" s="54">
        <f>VLOOKUP(入力シート!F22,リストボックス!$E$1:$F$3,2,0)</f>
        <v>0</v>
      </c>
      <c r="D10" s="54">
        <f>VLOOKUP(入力シート!G22,リストボックス!$E$1:$F$3,2,0)</f>
        <v>0</v>
      </c>
      <c r="E10" s="54"/>
    </row>
    <row r="11" spans="1:5" x14ac:dyDescent="0.15">
      <c r="A11" s="54" t="s">
        <v>21</v>
      </c>
      <c r="B11" s="54">
        <f>VLOOKUP(入力シート!E32,リストボックス!$G$1:$H$3,2,0)</f>
        <v>0</v>
      </c>
      <c r="C11" s="54">
        <f>VLOOKUP(入力シート!F32,リストボックス!$G$1:$H$3,2,0)</f>
        <v>0</v>
      </c>
      <c r="D11" s="54">
        <f>VLOOKUP(入力シート!G32,リストボックス!$G$1:$H$3,2,0)</f>
        <v>0</v>
      </c>
      <c r="E11" s="54"/>
    </row>
    <row r="12" spans="1:5" x14ac:dyDescent="0.15">
      <c r="A12" s="54" t="s">
        <v>0</v>
      </c>
      <c r="B12" s="54">
        <f>入力シート!E18</f>
        <v>0</v>
      </c>
      <c r="C12" s="54">
        <f>入力シート!F18</f>
        <v>0</v>
      </c>
      <c r="D12" s="54">
        <f>入力シート!G18</f>
        <v>0</v>
      </c>
      <c r="E12" s="54"/>
    </row>
    <row r="13" spans="1:5" x14ac:dyDescent="0.15">
      <c r="A13" s="54" t="s">
        <v>1</v>
      </c>
      <c r="B13" s="54">
        <f>入力シート!E18-入力シート!E23</f>
        <v>0</v>
      </c>
      <c r="C13" s="54">
        <f>入力シート!F18-入力シート!F23</f>
        <v>0</v>
      </c>
      <c r="D13" s="54">
        <f>入力シート!G18-入力シート!G23</f>
        <v>0</v>
      </c>
      <c r="E13" s="54"/>
    </row>
    <row r="14" spans="1:5" x14ac:dyDescent="0.15">
      <c r="A14" s="54" t="s">
        <v>22</v>
      </c>
      <c r="B14" s="54">
        <f>IF(VLOOKUP(入力シート!E24,リストボックス!$I$1:$J$5,2,0)&gt;0,1,0)</f>
        <v>0</v>
      </c>
      <c r="C14" s="54">
        <f>IF(VLOOKUP(入力シート!F24,リストボックス!$I$1:$J$5,2,0)&gt;0,1,0)</f>
        <v>0</v>
      </c>
      <c r="D14" s="54">
        <f>IF(VLOOKUP(入力シート!G24,リストボックス!$I$1:$J$5,2,0)&gt;0,1,0)</f>
        <v>0</v>
      </c>
      <c r="E14" s="54"/>
    </row>
    <row r="15" spans="1:5" x14ac:dyDescent="0.15">
      <c r="A15" s="54" t="s">
        <v>23</v>
      </c>
      <c r="B15" s="54">
        <f>SUM(B14,入力シート!E25:E28)</f>
        <v>0</v>
      </c>
      <c r="C15" s="54">
        <f>SUM(C14,入力シート!F25:F28)</f>
        <v>0</v>
      </c>
      <c r="D15" s="54">
        <f>SUM(D14,入力シート!G25:G28)</f>
        <v>0</v>
      </c>
      <c r="E15" s="54"/>
    </row>
    <row r="16" spans="1:5" x14ac:dyDescent="0.15">
      <c r="A16" s="54" t="s">
        <v>24</v>
      </c>
      <c r="B16" s="54">
        <f>350000*(1+B15)+IF(B15&gt;0,320000,0)+IF(B27=1,100000,0)</f>
        <v>450000</v>
      </c>
      <c r="C16" s="54">
        <f>350000*(1+C15)+IF(C15&gt;0,320000,0)+IF(B27=1,100000,0)</f>
        <v>450000</v>
      </c>
      <c r="D16" s="54">
        <f>350000*(1+D15)+IF(D15&gt;0,320000,0)+IF(B27=1,100000,0)</f>
        <v>450000</v>
      </c>
      <c r="E16" s="54"/>
    </row>
    <row r="17" spans="1:5" x14ac:dyDescent="0.15">
      <c r="A17" s="54" t="s">
        <v>25</v>
      </c>
      <c r="B17" s="54">
        <f>VLOOKUP(入力シート!E19,リストボックス!$K$1:$L$5,2,0)</f>
        <v>0</v>
      </c>
      <c r="C17" s="54">
        <f>VLOOKUP(入力シート!F19,リストボックス!$K$1:$L$5,2,0)</f>
        <v>0</v>
      </c>
      <c r="D17" s="54">
        <f>VLOOKUP(入力シート!G19,リストボックス!$K$1:$L$5,2,0)</f>
        <v>0</v>
      </c>
      <c r="E17" s="54"/>
    </row>
    <row r="18" spans="1:5" x14ac:dyDescent="0.15">
      <c r="A18" s="54" t="s">
        <v>26</v>
      </c>
      <c r="B18" s="54">
        <f>VLOOKUP(入力シート!E20,リストボックス!$M$1:$N$4,2,0)</f>
        <v>0</v>
      </c>
      <c r="C18" s="54">
        <f>VLOOKUP(入力シート!F20,リストボックス!$M$1:$N$4,2,0)</f>
        <v>0</v>
      </c>
      <c r="D18" s="54">
        <f>VLOOKUP(入力シート!G20,リストボックス!$M$1:$N$4,2,0)</f>
        <v>0</v>
      </c>
      <c r="E18" s="54"/>
    </row>
    <row r="19" spans="1:5" x14ac:dyDescent="0.15">
      <c r="A19" s="54" t="s">
        <v>27</v>
      </c>
      <c r="B19" s="54">
        <f>IF(YEAR(B8)&gt;2022,IF(B9&lt;18,1,0),IF(B9&lt;20,1,0))</f>
        <v>0</v>
      </c>
      <c r="C19" s="54">
        <f>IF(YEAR(B8)&gt;2022,IF(C9&lt;18,1,0),IF(C9&lt;20,1,0))</f>
        <v>0</v>
      </c>
      <c r="D19" s="54">
        <f>IF(YEAR(B8)&gt;2022,IF(D9&lt;18,1,0),IF(D9&lt;20,1,0))</f>
        <v>0</v>
      </c>
      <c r="E19" s="54"/>
    </row>
    <row r="20" spans="1:5" x14ac:dyDescent="0.15">
      <c r="A20" s="54" t="s">
        <v>28</v>
      </c>
      <c r="B20" s="54">
        <f>IF(SUM(B17:B19)&gt;0,1250000+IF(B27=1,100000,0),0)</f>
        <v>0</v>
      </c>
      <c r="C20" s="54">
        <f>IF(SUM(C17:C19)&gt;0,1250000+IF(B27=1,100000,0),0)</f>
        <v>0</v>
      </c>
      <c r="D20" s="54">
        <f>IF(SUM(D17:D19)&gt;0,1250000+IF(B27=1,100000,0),0)</f>
        <v>0</v>
      </c>
      <c r="E20" s="54"/>
    </row>
    <row r="21" spans="1:5" x14ac:dyDescent="0.15">
      <c r="A21" s="54" t="s">
        <v>29</v>
      </c>
      <c r="B21" s="54">
        <f>入力シート!E29</f>
        <v>0</v>
      </c>
      <c r="C21" s="54">
        <f>入力シート!F29</f>
        <v>0</v>
      </c>
      <c r="D21" s="54">
        <f>入力シート!G29</f>
        <v>0</v>
      </c>
      <c r="E21" s="54"/>
    </row>
    <row r="22" spans="1:5" x14ac:dyDescent="0.15">
      <c r="A22" s="54" t="s">
        <v>109</v>
      </c>
      <c r="B22" s="54">
        <f>SUM(入力シート!E30)*IF(B11=1,3/4,1)</f>
        <v>0</v>
      </c>
      <c r="C22" s="54">
        <f>SUM(入力シート!F30)*IF(C11=1,3/4,1)</f>
        <v>0</v>
      </c>
      <c r="D22" s="54">
        <f>SUM(入力シート!G30)*IF(D11=1,3/4,1)</f>
        <v>0</v>
      </c>
      <c r="E22" s="54"/>
    </row>
    <row r="23" spans="1:5" x14ac:dyDescent="0.15">
      <c r="A23" s="65" t="s">
        <v>137</v>
      </c>
      <c r="B23" s="54">
        <f>SUM(入力シート!E31)*IF(B11=1,3/4,1)</f>
        <v>0</v>
      </c>
      <c r="C23" s="54">
        <f>SUM(入力シート!F31)*IF(C11=1,3/4,1)</f>
        <v>0</v>
      </c>
      <c r="D23" s="54">
        <f>SUM(入力シート!G31)*IF(D11=1,3/4,1)</f>
        <v>0</v>
      </c>
      <c r="E23" s="54"/>
    </row>
    <row r="24" spans="1:5" x14ac:dyDescent="0.15">
      <c r="A24" s="54" t="s">
        <v>33</v>
      </c>
      <c r="B24" s="54">
        <f>IF(OR(B10=1,B12&lt;=B20,B13&lt;=B16),1,0)</f>
        <v>1</v>
      </c>
      <c r="C24" s="54">
        <f>IF(OR(C10=1,C12&lt;=C20,C13&lt;=C16),1,0)</f>
        <v>1</v>
      </c>
      <c r="D24" s="54">
        <f>IF(OR(D10=1,D12&lt;=D20,D13&lt;=D16),1,0)</f>
        <v>1</v>
      </c>
      <c r="E24" s="54"/>
    </row>
    <row r="25" spans="1:5" x14ac:dyDescent="0.15">
      <c r="A25" s="65" t="s">
        <v>139</v>
      </c>
      <c r="B25" s="54">
        <f>MAX(0,IF(B2=3,0,IF(B24=1,0,ROUNDDOWN(B21*0.06-B22-B23,-2))))</f>
        <v>0</v>
      </c>
      <c r="C25" s="54">
        <f>MAX(0,IF(B2=1,IF(C24=1,0,ROUNDDOWN(C21*0.06-C22-C23,-2)),0))</f>
        <v>0</v>
      </c>
      <c r="D25" s="54">
        <f>MAX(0,IF(D24=1,0,ROUNDDOWN(D21*0.06-D22-D23,-2)))</f>
        <v>0</v>
      </c>
      <c r="E25" s="54" t="s">
        <v>150</v>
      </c>
    </row>
    <row r="26" spans="1:5" x14ac:dyDescent="0.15">
      <c r="A26" s="54" t="s">
        <v>138</v>
      </c>
      <c r="B26" s="66">
        <f>MAX(0,IF(B2=3,0,IF(B24=1,0,ROUNDDOWN(B21*0.06-B22,-2))))</f>
        <v>0</v>
      </c>
      <c r="C26" s="66">
        <f>MAX(0,IF(B2=1,IF(C24=1,0,ROUNDDOWN(C21*0.06-C22,-2)),0))</f>
        <v>0</v>
      </c>
      <c r="D26" s="54">
        <f>MAX(0,IF(D24=1,0,ROUNDDOWN(D21*0.06-D22,-2)))</f>
        <v>0</v>
      </c>
      <c r="E26" s="54"/>
    </row>
    <row r="27" spans="1:5" x14ac:dyDescent="0.15">
      <c r="A27" s="54" t="s">
        <v>94</v>
      </c>
      <c r="B27" s="54">
        <f>IF(入力シート!E8&lt;2021,0,IF(AND(入力シート!E8=2021,B3=3),0,1))</f>
        <v>1</v>
      </c>
      <c r="C27" s="54"/>
      <c r="D27" s="54"/>
      <c r="E27" s="54" t="s">
        <v>95</v>
      </c>
    </row>
    <row r="28" spans="1:5" x14ac:dyDescent="0.15">
      <c r="A28" s="54" t="s">
        <v>99</v>
      </c>
      <c r="B28" s="66">
        <f>IF(YEAR(B8)&gt;2021,1,0)</f>
        <v>1</v>
      </c>
      <c r="C28" s="54"/>
      <c r="D28" s="54"/>
      <c r="E28" s="54" t="s">
        <v>104</v>
      </c>
    </row>
    <row r="29" spans="1:5" x14ac:dyDescent="0.15">
      <c r="A29" s="54" t="s">
        <v>103</v>
      </c>
      <c r="B29" s="54">
        <f>DATEDIF(入力シート!G21,$B$8-1,"y")</f>
        <v>124</v>
      </c>
      <c r="C29" s="54"/>
      <c r="D29" s="54"/>
      <c r="E29" s="54"/>
    </row>
    <row r="30" spans="1:5" x14ac:dyDescent="0.15">
      <c r="A30" s="54" t="s">
        <v>102</v>
      </c>
      <c r="B30" s="119">
        <f>IFERROR(VALUE(TEXT(MONTH(入力シート!G21),"00")&amp;TEXT(DAY(入力シート!G21),"00")),1000)</f>
        <v>100</v>
      </c>
      <c r="C30" s="54"/>
      <c r="D30" s="54"/>
      <c r="E30" s="54"/>
    </row>
    <row r="31" spans="1:5" x14ac:dyDescent="0.15">
      <c r="A31" s="66" t="s">
        <v>101</v>
      </c>
      <c r="B31" s="66">
        <f>IF(計算シート!$B$46=0,IFERROR(IF(AND(B28=1,B29=18,B30&gt;101,B30&lt;=401),1,0),0),0)</f>
        <v>0</v>
      </c>
      <c r="C31" s="66"/>
      <c r="D31" s="54"/>
      <c r="E31" s="54"/>
    </row>
    <row r="32" spans="1:5" x14ac:dyDescent="0.15">
      <c r="A32" s="66" t="s">
        <v>100</v>
      </c>
      <c r="B32" s="66">
        <f>IF(AND($B$31=1,SUM(入力シート!E25)&gt;0,IF(SUM(入力シート!F25)&gt;0,IF(B26&gt;=C26,1,0),1)&gt;0),7200,0)</f>
        <v>0</v>
      </c>
      <c r="C32" s="66">
        <f>IF(AND($B$31=1,SUM(入力シート!F25)&gt;0,IF(SUM(入力シート!E25)&gt;0,IF(B26&lt;C26,1,0),1)&gt;0),7200,0)</f>
        <v>0</v>
      </c>
      <c r="D32" s="54"/>
      <c r="E32" s="54"/>
    </row>
    <row r="33" spans="1:5" x14ac:dyDescent="0.15">
      <c r="A33" s="66" t="s">
        <v>140</v>
      </c>
      <c r="B33" s="66">
        <f>IFERROR(MAX(0,B26-B32),B26)</f>
        <v>0</v>
      </c>
      <c r="C33" s="66">
        <f>IFERROR(MAX(0,C26-C32),C26)</f>
        <v>0</v>
      </c>
      <c r="D33" s="54"/>
      <c r="E33" s="54"/>
    </row>
    <row r="34" spans="1:5" x14ac:dyDescent="0.15">
      <c r="A34" s="66" t="s">
        <v>141</v>
      </c>
      <c r="B34" s="66">
        <f>IFERROR(MAX(0,B25-B32),B25)</f>
        <v>0</v>
      </c>
      <c r="C34" s="66">
        <f>IFERROR(MAX(0,C25-C32),C25)</f>
        <v>0</v>
      </c>
      <c r="D34" s="54"/>
      <c r="E34" s="54"/>
    </row>
    <row r="35" spans="1:5" x14ac:dyDescent="0.15">
      <c r="A35" s="66" t="s">
        <v>147</v>
      </c>
      <c r="B35" s="66">
        <f>IF(計算シート!$B$46=0,MIN(入力シート!E12,SUM(入力シート!E25:F26,入力シート!E28:F28)),0)</f>
        <v>0</v>
      </c>
      <c r="C35" s="54"/>
      <c r="D35" s="54"/>
      <c r="E35" s="54"/>
    </row>
    <row r="36" spans="1:5" x14ac:dyDescent="0.15">
      <c r="A36" s="66" t="s">
        <v>110</v>
      </c>
      <c r="B36" s="66">
        <f>IF(計算シート!$B$46=0,IF(AND(B2&gt;1,OR(AND(B2=2,B6&gt;0),SUM(B18:D18)&gt;0)),40000,0),0)</f>
        <v>0</v>
      </c>
      <c r="C36" s="54"/>
      <c r="D36" s="54"/>
      <c r="E36" s="54"/>
    </row>
    <row r="37" spans="1:5" x14ac:dyDescent="0.15">
      <c r="A37" s="66" t="s">
        <v>111</v>
      </c>
      <c r="B37" s="54">
        <f>MAX((B35-2)*40000,0)</f>
        <v>0</v>
      </c>
      <c r="C37" s="54"/>
      <c r="D37" s="54"/>
      <c r="E37" s="54"/>
    </row>
    <row r="38" spans="1:5" x14ac:dyDescent="0.15">
      <c r="A38" s="66" t="s">
        <v>113</v>
      </c>
      <c r="B38" s="66">
        <f>IF(計算シート!$B$46=0,IF(AND(B3&gt;1,VLOOKUP(入力シート!G8,リストボックス!AB2:AC3,2,0)=2,VLOOKUP(入力シート!G9,リストボックス!U2:V5,2,0)=2),22000,0),0)</f>
        <v>22000</v>
      </c>
      <c r="C38" s="54"/>
      <c r="D38" s="54"/>
      <c r="E38" s="54"/>
    </row>
    <row r="39" spans="1:5" x14ac:dyDescent="0.15">
      <c r="A39" s="66" t="s">
        <v>112</v>
      </c>
      <c r="B39" s="54">
        <f>IF(B2&lt;3,MAX(SUM(B33:C33)-SUM(B36:B38),0),MAX(D26-SUM(B36:B38),0))</f>
        <v>0</v>
      </c>
      <c r="C39" s="54"/>
      <c r="D39" s="54"/>
      <c r="E39" s="54"/>
    </row>
    <row r="40" spans="1:5" x14ac:dyDescent="0.15">
      <c r="A40" s="66" t="s">
        <v>122</v>
      </c>
      <c r="B40" s="54">
        <f>IF(B39&lt;=189400,1,0)</f>
        <v>1</v>
      </c>
      <c r="C40" s="54"/>
      <c r="D40" s="54"/>
      <c r="E40" s="54"/>
    </row>
    <row r="41" spans="1:5" x14ac:dyDescent="0.15">
      <c r="A41" s="66" t="s">
        <v>123</v>
      </c>
      <c r="B41" s="54">
        <f>IF(B39&lt;=381500,1,0)</f>
        <v>1</v>
      </c>
      <c r="C41" s="54"/>
      <c r="D41" s="54"/>
      <c r="E41" s="54"/>
    </row>
    <row r="42" spans="1:5" x14ac:dyDescent="0.15">
      <c r="A42" s="66" t="s">
        <v>124</v>
      </c>
      <c r="B42" s="54">
        <f>IF(B39&lt;=164600,1,0)</f>
        <v>1</v>
      </c>
      <c r="C42" s="54"/>
      <c r="D42" s="54"/>
      <c r="E42" s="54"/>
    </row>
    <row r="43" spans="1:5" x14ac:dyDescent="0.15">
      <c r="A43" s="66" t="s">
        <v>146</v>
      </c>
      <c r="B43" s="54"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
      </c>
      <c r="C43" s="54"/>
      <c r="D43" s="54"/>
      <c r="E43" s="54" t="s">
        <v>157</v>
      </c>
    </row>
    <row r="44" spans="1:5" x14ac:dyDescent="0.15">
      <c r="A44" s="54" t="s">
        <v>8</v>
      </c>
      <c r="B44" s="66" t="str">
        <f>IF(B46=1,"申請できません",IF(AND(B3=2,入力シート!E8&gt;=2020),"エラー",IF(入力シート!E8=0,"年度が入力されていません",IF(SUM(B34:C34,D25)&lt;100,"第Ⅰ区分",IF(SUM(B34:C34,D25)&lt;25600,"第Ⅱ区分",IF(SUM(B34:C34,D25)&lt;51300,"第Ⅲ区分",IF(SUM(B34:C34,D25)&lt;154500,"第Ⅳ区分",IF(B52="","対象外",""))))))))</f>
        <v>第Ⅰ区分</v>
      </c>
      <c r="C44" s="54"/>
      <c r="D44" s="54"/>
      <c r="E44" s="54"/>
    </row>
    <row r="45" spans="1:5" x14ac:dyDescent="0.15">
      <c r="A45" s="80" t="s">
        <v>148</v>
      </c>
      <c r="B45" s="81" t="str">
        <f>IF(B44="第Ⅳ区分",IF(AND(B35&gt;2,B51=0,VLOOKUP(入力シート!G12,リストボックス!Z2:AA3,2,0)=1),"（多子世帯）",IF(AND(B3=1,B52=""),"（理工農系進学の場合）",IF(AND(VLOOKUP(入力シート!G13,リストボックス!W2:X3,2,0)=2,VLOOKUP(入力シート!G8,リストボックス!AB2:AC3,2,0)=2),"（理工農系）",IF(B52="","（支援対象外）","")))),"")</f>
        <v/>
      </c>
      <c r="C45" s="54"/>
      <c r="D45" s="54"/>
      <c r="E45" s="54"/>
    </row>
    <row r="46" spans="1:5" x14ac:dyDescent="0.15">
      <c r="A46" s="66" t="s">
        <v>186</v>
      </c>
      <c r="B46" s="54">
        <f>IF(VLOOKUP(入力シート!E9,リストボックス!C2:D9,2,0)&gt;5,1,0)</f>
        <v>0</v>
      </c>
      <c r="C46" s="54"/>
      <c r="D46" s="54"/>
      <c r="E46" s="54"/>
    </row>
    <row r="47" spans="1:5" x14ac:dyDescent="0.15">
      <c r="A47" s="66" t="s">
        <v>187</v>
      </c>
      <c r="B47" s="54">
        <f>IF(VLOOKUP(入力シート!$E$13,リストボックス!$AD$2:$AE$3,2,0)=1,IF($B$39&lt;=66400,1,0),IF($B$39&lt;=80100,1,0))</f>
        <v>1</v>
      </c>
      <c r="C47" s="54"/>
      <c r="D47" s="54"/>
      <c r="E47" s="54"/>
    </row>
    <row r="48" spans="1:5" x14ac:dyDescent="0.15">
      <c r="A48" s="66" t="s">
        <v>188</v>
      </c>
      <c r="B48" s="54">
        <f>IF(VLOOKUP(入力シート!$E$13,リストボックス!$AD$2:$AE$3,2,0)=1,IF($B$39&lt;=97800,1,0),IF($B$39&lt;=118600,1,0))</f>
        <v>1</v>
      </c>
      <c r="C48" s="54"/>
      <c r="D48" s="54"/>
      <c r="E48" s="54"/>
    </row>
    <row r="49" spans="1:5" x14ac:dyDescent="0.15">
      <c r="A49" s="66" t="s">
        <v>189</v>
      </c>
      <c r="B49" s="54">
        <f>IF(VLOOKUP(入力シート!$E$13,リストボックス!$AD$2:$AE$3,2,0)=1,IF($B$39&lt;=155300,1,0),IF($B$39&lt;=229800,1,0))</f>
        <v>1</v>
      </c>
      <c r="C49" s="54"/>
      <c r="D49" s="54"/>
      <c r="E49" s="54"/>
    </row>
    <row r="50" spans="1:5" x14ac:dyDescent="0.15">
      <c r="A50" s="66" t="s">
        <v>190</v>
      </c>
      <c r="B50" s="54">
        <f>IF(VLOOKUP(入力シート!$E$13,リストボックス!$AD$2:$AE$3,2,0)=1,IF($B$39&lt;=61600,1,0),IF($B$39&lt;=66400,1,0))</f>
        <v>1</v>
      </c>
      <c r="C50" s="54"/>
      <c r="D50" s="54"/>
      <c r="E50" s="54"/>
    </row>
    <row r="51" spans="1:5" x14ac:dyDescent="0.15">
      <c r="A51" s="80" t="s">
        <v>198</v>
      </c>
      <c r="B51" s="81">
        <f>IF(OR(OR(OR(B3=1,B3=3),YEAR(B8)&gt;=2024),OR(OR(B3=4,B3=5),YEAR(B8)&gt;=2025)),1,0)</f>
        <v>1</v>
      </c>
      <c r="C51" s="54"/>
      <c r="D51" s="54"/>
      <c r="E51" s="54"/>
    </row>
    <row r="52" spans="1:5" x14ac:dyDescent="0.15">
      <c r="A52" s="80" t="s">
        <v>196</v>
      </c>
      <c r="B52" s="124" t="str">
        <f>IF(B51=1,IF(AND(B35&gt;2,VLOOKUP(入力シート!G12,リストボックス!Z2:AA3,2,0)=1),"　多子世帯",""),"")</f>
        <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M3" sqref="M3:N3"/>
    </sheetView>
  </sheetViews>
  <sheetFormatPr defaultRowHeight="13.5" x14ac:dyDescent="0.15"/>
  <cols>
    <col min="1" max="1" width="10.5" bestFit="1" customWidth="1"/>
  </cols>
  <sheetData>
    <row r="1" spans="1:2" x14ac:dyDescent="0.15">
      <c r="A1" s="1">
        <v>45005</v>
      </c>
      <c r="B1" t="s">
        <v>97</v>
      </c>
    </row>
    <row r="2" spans="1:2" x14ac:dyDescent="0.15">
      <c r="A2" s="1">
        <v>45363</v>
      </c>
      <c r="B2" t="s">
        <v>136</v>
      </c>
    </row>
    <row r="3" spans="1:2" x14ac:dyDescent="0.15">
      <c r="A3" s="1">
        <v>45383</v>
      </c>
      <c r="B3" t="s">
        <v>181</v>
      </c>
    </row>
    <row r="4" spans="1:2" x14ac:dyDescent="0.15">
      <c r="A4" s="1">
        <v>45463</v>
      </c>
      <c r="B4" t="s">
        <v>182</v>
      </c>
    </row>
    <row r="5" spans="1:2" x14ac:dyDescent="0.15">
      <c r="A5" s="1">
        <v>45489</v>
      </c>
      <c r="B5" t="s">
        <v>194</v>
      </c>
    </row>
    <row r="6" spans="1:2" x14ac:dyDescent="0.15">
      <c r="A6" s="1">
        <v>45717</v>
      </c>
      <c r="B6" t="s">
        <v>195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秋貸与額算定基準額判定ツール</dc:title>
  <dc:creator>JASSO</dc:creator>
  <cp:lastModifiedBy>HTC154</cp:lastModifiedBy>
  <cp:lastPrinted>2025-03-24T09:13:51Z</cp:lastPrinted>
  <dcterms:created xsi:type="dcterms:W3CDTF">2006-09-16T00:00:00Z</dcterms:created>
  <dcterms:modified xsi:type="dcterms:W3CDTF">2025-04-11T01:21:59Z</dcterms:modified>
</cp:coreProperties>
</file>