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10.230.0.5\gakushitaiyoka\採用係\38_HP更新\20260401 ツール更新・年度更新(一般)　下平\"/>
    </mc:Choice>
  </mc:AlternateContent>
  <xr:revisionPtr revIDLastSave="0" documentId="13_ncr:1_{D549A0A7-2108-45FB-BFEF-884E5857994F}" xr6:coauthVersionLast="47" xr6:coauthVersionMax="47" xr10:uidLastSave="{00000000-0000-0000-0000-000000000000}"/>
  <bookViews>
    <workbookView xWindow="-108" yWindow="-108" windowWidth="23256" windowHeight="12456" xr2:uid="{00000000-000D-0000-FFFF-FFFF00000000}"/>
  </bookViews>
  <sheets>
    <sheet name="入力シート" sheetId="2" r:id="rId1"/>
    <sheet name="入力例" sheetId="6" r:id="rId2"/>
    <sheet name="リストボックス" sheetId="4" state="hidden" r:id="rId3"/>
    <sheet name="計算シート" sheetId="5" state="hidden" r:id="rId4"/>
    <sheet name="計算シート２" sheetId="8" state="hidden" r:id="rId5"/>
  </sheets>
  <definedNames>
    <definedName name="_xlnm._FilterDatabase" localSheetId="0" hidden="1">入力シート!$B$6:$G$41</definedName>
    <definedName name="_xlnm.Print_Area" localSheetId="0">入力シート!$A$1:$H$43</definedName>
    <definedName name="_xlnm.Print_Area" localSheetId="1">入力例!$A$1:$V$42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1" i="5" l="1"/>
  <c r="C37" i="5"/>
  <c r="B37" i="5"/>
  <c r="B2" i="5" l="1"/>
  <c r="O5" i="4"/>
  <c r="B13" i="2"/>
  <c r="B10" i="2"/>
  <c r="F17" i="2"/>
  <c r="E17" i="2"/>
  <c r="V1" i="6"/>
  <c r="B4" i="5" l="1"/>
  <c r="F12" i="2" s="1"/>
  <c r="C41" i="2" l="1"/>
  <c r="C39" i="2"/>
  <c r="C40" i="2"/>
  <c r="B6" i="5"/>
  <c r="B5" i="5"/>
  <c r="F10" i="2" l="1"/>
  <c r="B30" i="5" l="1"/>
  <c r="B3" i="5" l="1"/>
  <c r="B27" i="5" l="1"/>
  <c r="B43" i="5"/>
  <c r="F13" i="2"/>
  <c r="F9" i="2"/>
  <c r="F8" i="2"/>
  <c r="D18" i="5"/>
  <c r="C18" i="5"/>
  <c r="B18" i="5"/>
  <c r="B41" i="5" s="1"/>
  <c r="D20" i="2" l="1"/>
  <c r="B7" i="5" l="1"/>
  <c r="B8" i="5" s="1"/>
  <c r="D17" i="5"/>
  <c r="C17" i="5"/>
  <c r="B17" i="5"/>
  <c r="D14" i="5"/>
  <c r="C14" i="5"/>
  <c r="B14" i="5"/>
  <c r="B15" i="5" s="1"/>
  <c r="D11" i="5"/>
  <c r="C11" i="5"/>
  <c r="B11" i="5"/>
  <c r="D10" i="5"/>
  <c r="C10" i="5"/>
  <c r="B10" i="5"/>
  <c r="B16" i="2" l="1"/>
  <c r="B22" i="5"/>
  <c r="B23" i="5"/>
  <c r="D23" i="5"/>
  <c r="D22" i="5"/>
  <c r="C23" i="5"/>
  <c r="C22" i="5"/>
  <c r="F11" i="2"/>
  <c r="D21" i="5"/>
  <c r="C21" i="5"/>
  <c r="B21" i="5"/>
  <c r="D15" i="5"/>
  <c r="D16" i="5" s="1"/>
  <c r="C15" i="5"/>
  <c r="C16" i="5" s="1"/>
  <c r="B16" i="5"/>
  <c r="D13" i="5"/>
  <c r="G36" i="2" s="1"/>
  <c r="C13" i="5"/>
  <c r="F36" i="2" s="1"/>
  <c r="B13" i="5"/>
  <c r="E36" i="2" s="1"/>
  <c r="D12" i="5"/>
  <c r="B38" i="5" s="1"/>
  <c r="C12" i="5"/>
  <c r="B12" i="5"/>
  <c r="B2" i="8" l="1"/>
  <c r="B3" i="8" s="1"/>
  <c r="D9" i="5"/>
  <c r="B28" i="5"/>
  <c r="C22" i="2"/>
  <c r="B29" i="5"/>
  <c r="E38" i="2"/>
  <c r="F38" i="2"/>
  <c r="G38" i="2"/>
  <c r="F37" i="2"/>
  <c r="E37" i="2"/>
  <c r="G37" i="2"/>
  <c r="B9" i="5"/>
  <c r="B19" i="5" s="1"/>
  <c r="B20" i="5" s="1"/>
  <c r="C9" i="5"/>
  <c r="D19" i="5" l="1"/>
  <c r="D20" i="5" s="1"/>
  <c r="G35" i="2" s="1"/>
  <c r="B31" i="5"/>
  <c r="B32" i="5" s="1"/>
  <c r="C19" i="5"/>
  <c r="C20" i="5" s="1"/>
  <c r="E35" i="2"/>
  <c r="B39" i="5" l="1"/>
  <c r="B4" i="8"/>
  <c r="B5" i="8" s="1"/>
  <c r="F35" i="2"/>
  <c r="C24" i="5"/>
  <c r="D24" i="5"/>
  <c r="D25" i="5" s="1"/>
  <c r="B24" i="5"/>
  <c r="B36" i="5" l="1"/>
  <c r="B25" i="5"/>
  <c r="B26" i="5"/>
  <c r="C26" i="5"/>
  <c r="C25" i="5"/>
  <c r="D26" i="5"/>
  <c r="G39" i="2" s="1"/>
  <c r="B33" i="5" l="1"/>
  <c r="B35" i="5" s="1"/>
  <c r="C33" i="5"/>
  <c r="C32" i="5"/>
  <c r="B42" i="5"/>
  <c r="B40" i="5"/>
  <c r="B57" i="5" s="1"/>
  <c r="C35" i="5" l="1"/>
  <c r="B49" i="5" s="1"/>
  <c r="B50" i="5" s="1"/>
  <c r="C34" i="5"/>
  <c r="B34" i="5"/>
  <c r="E39" i="2" s="1"/>
  <c r="B44" i="5" l="1"/>
  <c r="B52" i="5" s="1"/>
  <c r="B53" i="5"/>
  <c r="F39" i="2"/>
  <c r="B46" i="5" l="1"/>
  <c r="B47" i="5"/>
  <c r="B45" i="5"/>
  <c r="E40" i="2"/>
  <c r="B54" i="5"/>
  <c r="B55" i="5"/>
  <c r="B48" i="5"/>
  <c r="E41" i="2" s="1"/>
  <c r="E42" i="2"/>
</calcChain>
</file>

<file path=xl/sharedStrings.xml><?xml version="1.0" encoding="utf-8"?>
<sst xmlns="http://schemas.openxmlformats.org/spreadsheetml/2006/main" count="298" uniqueCount="200">
  <si>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</si>
  <si>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</si>
  <si>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</si>
  <si>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</si>
  <si>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</si>
  <si>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</si>
  <si>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</si>
  <si>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</si>
  <si>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</si>
  <si>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</si>
  <si>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</si>
  <si>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</si>
  <si>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</si>
  <si>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</si>
  <si>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</si>
  <si>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</si>
  <si>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</si>
  <si>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</si>
  <si>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</si>
  <si>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</si>
  <si>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</si>
  <si>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</si>
  <si>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</si>
  <si>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</si>
  <si>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</si>
  <si>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</si>
  <si>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</si>
  <si>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</si>
  <si>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</si>
  <si>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</si>
  <si>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</si>
  <si>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</si>
  <si>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</si>
  <si>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</si>
  <si>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</si>
  <si>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</si>
  <si>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</si>
  <si>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</si>
  <si>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</si>
  <si>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</si>
  <si>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</si>
  <si>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</si>
  <si>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</si>
  <si>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</si>
  <si>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</si>
  <si>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</si>
  <si>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</si>
  <si>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</si>
  <si>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</si>
  <si>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</si>
  <si>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</si>
  <si>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</si>
  <si>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</si>
  <si>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</si>
  <si>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</si>
  <si>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</si>
  <si>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</si>
  <si>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</si>
  <si>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</si>
  <si>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</si>
  <si>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</si>
  <si>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</si>
  <si>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</si>
  <si>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</si>
  <si>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</si>
  <si>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</si>
  <si>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</si>
  <si>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</si>
  <si>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</si>
  <si>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</si>
  <si>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</si>
  <si>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【入力例】</t>
    <rPh sb="1" eb="3">
      <t>ニュウリョク</t>
    </rPh>
    <rPh sb="3" eb="4">
      <t>レイ</t>
    </rPh>
    <phoneticPr fontId="1"/>
  </si>
  <si>
    <t>　　</t>
    <phoneticPr fontId="1"/>
  </si>
  <si>
    <t>　</t>
    <phoneticPr fontId="1"/>
  </si>
  <si>
    <t>税制改正新旧判定</t>
    <rPh sb="0" eb="2">
      <t>ゼイセイ</t>
    </rPh>
    <rPh sb="2" eb="4">
      <t>カイセイ</t>
    </rPh>
    <rPh sb="4" eb="6">
      <t>シンキュウ</t>
    </rPh>
    <rPh sb="6" eb="8">
      <t>ハンテイ</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</si>
  <si>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</si>
  <si>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</si>
  <si>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</si>
  <si>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</si>
  <si>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</si>
  <si>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</si>
  <si>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</si>
  <si>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</si>
  <si>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</si>
  <si>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控除対象寡婦・ひとり親</t>
    <rPh sb="0" eb="2">
      <t>コウジョ</t>
    </rPh>
    <rPh sb="2" eb="4">
      <t>タイショウ</t>
    </rPh>
    <rPh sb="4" eb="6">
      <t>カフ</t>
    </rPh>
    <rPh sb="10" eb="11">
      <t>オヤ</t>
    </rPh>
    <phoneticPr fontId="1"/>
  </si>
  <si>
    <t>（入力にあたって）</t>
    <rPh sb="1" eb="3">
      <t>ニュウリョク</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</si>
  <si>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</si>
  <si>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</si>
  <si>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</si>
  <si>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</si>
  <si>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</si>
  <si>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</si>
  <si>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</si>
  <si>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</si>
  <si>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</si>
  <si>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</si>
  <si>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</si>
  <si>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</si>
  <si>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</si>
  <si>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</si>
  <si>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</si>
  <si>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</si>
  <si>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</si>
  <si>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</si>
  <si>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</si>
  <si>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</si>
  <si>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</si>
  <si>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</si>
  <si>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</si>
  <si>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</si>
  <si>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</si>
  <si>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併用の家計基準に適格</t>
  </si>
  <si>
    <t>支給額算定基準額・貸与額算定基準額判定ツール</t>
    <rPh sb="0" eb="8">
      <t>シキュウガクサンテイキジュンガク</t>
    </rPh>
    <rPh sb="9" eb="11">
      <t>タイヨ</t>
    </rPh>
    <rPh sb="11" eb="12">
      <t>ガク</t>
    </rPh>
    <rPh sb="12" eb="14">
      <t>サンテイ</t>
    </rPh>
    <rPh sb="14" eb="16">
      <t>キジュン</t>
    </rPh>
    <rPh sb="16" eb="17">
      <t>ガク</t>
    </rPh>
    <rPh sb="17" eb="19">
      <t>ハンテイ</t>
    </rPh>
    <phoneticPr fontId="1"/>
  </si>
  <si>
    <t>市町村民税調整額（円）</t>
    <rPh sb="0" eb="3">
      <t>シチョウソン</t>
    </rPh>
    <rPh sb="3" eb="4">
      <t>ミン</t>
    </rPh>
    <rPh sb="4" eb="5">
      <t>ゼイ</t>
    </rPh>
    <rPh sb="5" eb="7">
      <t>チョウセイ</t>
    </rPh>
    <rPh sb="7" eb="8">
      <t>ガク</t>
    </rPh>
    <rPh sb="9" eb="10">
      <t>エン</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</si>
  <si>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</si>
  <si>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</si>
  <si>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</si>
  <si>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</si>
  <si>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</si>
  <si>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</si>
  <si>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</si>
  <si>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</si>
  <si>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</si>
  <si>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</si>
  <si>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</si>
  <si>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</si>
  <si>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</si>
  <si>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</si>
  <si>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</si>
  <si>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</si>
  <si>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</si>
  <si>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</si>
  <si>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</si>
  <si>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</si>
  <si>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エラーチェック（特に未入力項目）は検討中</t>
    <rPh sb="8" eb="9">
      <t>トク</t>
    </rPh>
    <rPh sb="10" eb="13">
      <t>ミニュウリョク</t>
    </rPh>
    <rPh sb="13" eb="15">
      <t>コウモク</t>
    </rPh>
    <rPh sb="17" eb="20">
      <t>ケントウチュウ</t>
    </rPh>
    <phoneticPr fontId="1"/>
  </si>
  <si>
    <t>申請した奨学金の種別</t>
    <rPh sb="0" eb="2">
      <t>シンセイ</t>
    </rPh>
    <rPh sb="4" eb="7">
      <t>ショウガクキン</t>
    </rPh>
    <rPh sb="8" eb="10">
      <t>シュベツ</t>
    </rPh>
    <phoneticPr fontId="1"/>
  </si>
  <si>
    <t>生計維持者の数（人）</t>
    <rPh sb="0" eb="2">
      <t>セイケイ</t>
    </rPh>
    <rPh sb="2" eb="4">
      <t>イジ</t>
    </rPh>
    <rPh sb="4" eb="5">
      <t>シャ</t>
    </rPh>
    <rPh sb="6" eb="7">
      <t>カズ</t>
    </rPh>
    <rPh sb="8" eb="9">
      <t>ヒト</t>
    </rPh>
    <phoneticPr fontId="1"/>
  </si>
  <si>
    <r>
      <t>このツールは、課税証明書（所得証明書）をお持ちで、正確に支給額算定基準額や</t>
    </r>
    <r>
      <rPr>
        <sz val="11"/>
        <color theme="1"/>
        <rFont val="ＭＳ Ｐゴシック"/>
        <family val="3"/>
        <charset val="128"/>
        <scheme val="minor"/>
      </rPr>
      <t>貸与額算定基準額を</t>
    </r>
    <rPh sb="7" eb="9">
      <t>カゼイ</t>
    </rPh>
    <rPh sb="9" eb="12">
      <t>ショウメイショ</t>
    </rPh>
    <rPh sb="13" eb="15">
      <t>ショトク</t>
    </rPh>
    <rPh sb="15" eb="18">
      <t>ショウメイショ</t>
    </rPh>
    <rPh sb="21" eb="22">
      <t>モ</t>
    </rPh>
    <rPh sb="25" eb="27">
      <t>セイカク</t>
    </rPh>
    <rPh sb="28" eb="36">
      <t>シキュウガクサンテイキジュンガク</t>
    </rPh>
    <rPh sb="37" eb="39">
      <t>タイヨ</t>
    </rPh>
    <rPh sb="39" eb="40">
      <t>ガク</t>
    </rPh>
    <rPh sb="40" eb="42">
      <t>サンテイ</t>
    </rPh>
    <rPh sb="42" eb="44">
      <t>キジュン</t>
    </rPh>
    <rPh sb="44" eb="45">
      <t>ガク</t>
    </rPh>
    <phoneticPr fontId="1"/>
  </si>
  <si>
    <t>把握されたい方のために用意されたものです。入力にあたっては、別シート「入力例」もご覧ください。</t>
    <rPh sb="21" eb="23">
      <t>ニュウリョク</t>
    </rPh>
    <rPh sb="30" eb="31">
      <t>ベツ</t>
    </rPh>
    <rPh sb="35" eb="37">
      <t>ニュウリョク</t>
    </rPh>
    <rPh sb="37" eb="38">
      <t>レイ</t>
    </rPh>
    <rPh sb="41" eb="42">
      <t>ラン</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</si>
  <si>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</si>
  <si>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</si>
  <si>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</si>
  <si>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</si>
  <si>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</si>
  <si>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</si>
  <si>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支給額算定基準額・貸与額算定基準額判定ツール</t>
  </si>
  <si>
    <t>通学形態を選択してください。</t>
    <phoneticPr fontId="1"/>
  </si>
  <si>
    <t>両方を希望した場合の優先順位を選択してください。</t>
    <phoneticPr fontId="1"/>
  </si>
  <si>
    <t>生計維持者１の続柄を選択してください。</t>
    <phoneticPr fontId="1"/>
  </si>
  <si>
    <t>申込者/奨学生は生計維持者に扶養されていますか。</t>
    <phoneticPr fontId="1"/>
  </si>
  <si>
    <t>在籍している学科等は理工農系の分野ですか。</t>
    <phoneticPr fontId="1"/>
  </si>
  <si>
    <t>在籍校の設置者を選択してください。</t>
    <phoneticPr fontId="1"/>
  </si>
  <si>
    <t>貸与額算定基準額（円）
[または 支給額算定基準額（円）]</t>
    <rPh sb="0" eb="8">
      <t>タイヨガクサンテイキジュンガク</t>
    </rPh>
    <rPh sb="3" eb="5">
      <t>サンテイ</t>
    </rPh>
    <rPh sb="5" eb="7">
      <t>キジュン</t>
    </rPh>
    <rPh sb="7" eb="8">
      <t>ガク</t>
    </rPh>
    <rPh sb="9" eb="10">
      <t>エン</t>
    </rPh>
    <rPh sb="17" eb="25">
      <t>シキュウガクサンテイキジュンガク</t>
    </rPh>
    <rPh sb="26" eb="27">
      <t>エン</t>
    </rPh>
    <phoneticPr fontId="1"/>
  </si>
  <si>
    <t>世帯の貸与額算定基準額（円）
[または 世帯の支給額算定基準額（円）]</t>
    <rPh sb="0" eb="2">
      <t>セタイ</t>
    </rPh>
    <rPh sb="3" eb="11">
      <t>タイヨガクサンテイキジュンガク</t>
    </rPh>
    <rPh sb="12" eb="13">
      <t>エン</t>
    </rPh>
    <rPh sb="20" eb="22">
      <t>セタイ</t>
    </rPh>
    <rPh sb="23" eb="31">
      <t>シキュウガクサンテイキジュンガク</t>
    </rPh>
    <rPh sb="32" eb="33">
      <t>エン</t>
    </rPh>
    <phoneticPr fontId="1"/>
  </si>
  <si>
    <t>家計基準が適格となる種別
[または 支援区分]</t>
    <rPh sb="0" eb="2">
      <t>カケイ</t>
    </rPh>
    <rPh sb="2" eb="4">
      <t>キジュン</t>
    </rPh>
    <rPh sb="5" eb="7">
      <t>テキカク</t>
    </rPh>
    <rPh sb="10" eb="12">
      <t>シュベツ</t>
    </rPh>
    <rPh sb="18" eb="20">
      <t>シエン</t>
    </rPh>
    <rPh sb="20" eb="22">
      <t>クブン</t>
    </rPh>
    <phoneticPr fontId="1"/>
  </si>
  <si>
    <t>課税証明書（所得証明書）は、2024年度（2023年分）のものを用意してください。</t>
    <phoneticPr fontId="1"/>
  </si>
  <si>
    <t>2024年1月1日時点の生活保護法の
生活扶助の受給</t>
    <phoneticPr fontId="1"/>
  </si>
  <si>
    <t>黄色いセルは数値を入力、青いセルは該当するものを選択してください。左側の入力によっては右側に新たな質問が表示されます。</t>
    <rPh sb="0" eb="2">
      <t>キイロ</t>
    </rPh>
    <rPh sb="6" eb="8">
      <t>スウチ</t>
    </rPh>
    <rPh sb="9" eb="11">
      <t>ニュウリョク</t>
    </rPh>
    <rPh sb="12" eb="13">
      <t>アオ</t>
    </rPh>
    <rPh sb="17" eb="19">
      <t>ガイトウ</t>
    </rPh>
    <rPh sb="24" eb="26">
      <t>センタク</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</si>
  <si>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</si>
  <si>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</si>
  <si>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</si>
  <si>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</si>
  <si>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</si>
  <si>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</si>
  <si>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</si>
  <si>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</si>
  <si>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</si>
  <si>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</si>
  <si>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</si>
  <si>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</si>
  <si>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</si>
  <si>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</si>
  <si>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</si>
  <si>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r>
      <t>・本ツールに正確に情報を入力するには、申込者</t>
    </r>
    <r>
      <rPr>
        <sz val="11"/>
        <rFont val="ＭＳ Ｐゴシック"/>
        <family val="3"/>
        <charset val="128"/>
        <scheme val="minor"/>
      </rPr>
      <t>（大学院で配偶者がいる場合、配偶者も含む）や生計維持者それぞれの、市町村民税の課税証明書（自治体によっては「所得証明書」。以下同様。）又はマイナポータルにログインしていただき取得していただいた個人住民税情報が必要です。ここでは、課税証明書を用いて入力する対応関係を説明します。
・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ただし、「所得のみ記載されている証明書」や「税額のみ記載されている証明書」では、貸与額算定基準額は算定できません。
・本ツールにご入力いただいて得られた結果と実際の奨学金の選考結果が相違する場合であっても、本機構はその責任を負いません。
・ツール内部の詳しい計算方法については、本機構が別に公表している「支給額算定基準額・貸与額算定基準額の計算手順（確認シート）」もご覧ください。</t>
    </r>
    <rPh sb="1" eb="2">
      <t>ホン</t>
    </rPh>
    <rPh sb="6" eb="8">
      <t>セイカク</t>
    </rPh>
    <rPh sb="9" eb="11">
      <t>ジョウホウ</t>
    </rPh>
    <rPh sb="12" eb="14">
      <t>ニュウリョク</t>
    </rPh>
    <rPh sb="19" eb="21">
      <t>モウシコミ</t>
    </rPh>
    <rPh sb="21" eb="22">
      <t>シャ</t>
    </rPh>
    <rPh sb="23" eb="26">
      <t>ダイガクイン</t>
    </rPh>
    <rPh sb="27" eb="30">
      <t>ハイグウシャ</t>
    </rPh>
    <rPh sb="33" eb="35">
      <t>バアイ</t>
    </rPh>
    <rPh sb="36" eb="39">
      <t>ハイグウシャ</t>
    </rPh>
    <rPh sb="40" eb="41">
      <t>フク</t>
    </rPh>
    <rPh sb="44" eb="46">
      <t>セイケイ</t>
    </rPh>
    <rPh sb="46" eb="48">
      <t>イジ</t>
    </rPh>
    <rPh sb="48" eb="49">
      <t>シャ</t>
    </rPh>
    <rPh sb="55" eb="60">
      <t>シチョウソンミンゼイ</t>
    </rPh>
    <rPh sb="61" eb="63">
      <t>カゼイ</t>
    </rPh>
    <rPh sb="63" eb="66">
      <t>ショウメイショ</t>
    </rPh>
    <rPh sb="83" eb="85">
      <t>イカ</t>
    </rPh>
    <rPh sb="85" eb="87">
      <t>ドウヨウ</t>
    </rPh>
    <rPh sb="89" eb="90">
      <t>マタ</t>
    </rPh>
    <rPh sb="109" eb="111">
      <t>シュトク</t>
    </rPh>
    <rPh sb="123" eb="125">
      <t>ジョウホウ</t>
    </rPh>
    <rPh sb="126" eb="128">
      <t>ヒツヨウ</t>
    </rPh>
    <rPh sb="136" eb="138">
      <t>カゼイ</t>
    </rPh>
    <rPh sb="138" eb="141">
      <t>ショウメイショ</t>
    </rPh>
    <rPh sb="142" eb="143">
      <t>モチ</t>
    </rPh>
    <rPh sb="145" eb="147">
      <t>ニュウリョク</t>
    </rPh>
    <rPh sb="149" eb="151">
      <t>タイオウ</t>
    </rPh>
    <rPh sb="151" eb="153">
      <t>カンケイ</t>
    </rPh>
    <rPh sb="154" eb="156">
      <t>セツメイ</t>
    </rPh>
    <rPh sb="162" eb="164">
      <t>カキ</t>
    </rPh>
    <rPh sb="165" eb="167">
      <t>カゼイ</t>
    </rPh>
    <rPh sb="167" eb="170">
      <t>ショウメイショ</t>
    </rPh>
    <rPh sb="171" eb="173">
      <t>イチレイ</t>
    </rPh>
    <rPh sb="177" eb="179">
      <t>トクテイ</t>
    </rPh>
    <rPh sb="180" eb="183">
      <t>シチョウソン</t>
    </rPh>
    <rPh sb="194" eb="196">
      <t>カゼイ</t>
    </rPh>
    <rPh sb="196" eb="199">
      <t>ショウメイショ</t>
    </rPh>
    <rPh sb="200" eb="202">
      <t>ショシキ</t>
    </rPh>
    <rPh sb="203" eb="206">
      <t>ジチタイ</t>
    </rPh>
    <rPh sb="210" eb="211">
      <t>オオ</t>
    </rPh>
    <rPh sb="213" eb="214">
      <t>コト</t>
    </rPh>
    <rPh sb="305" eb="307">
      <t>タイヨ</t>
    </rPh>
    <rPh sb="324" eb="325">
      <t>ホン</t>
    </rPh>
    <rPh sb="330" eb="332">
      <t>ニュウリョク</t>
    </rPh>
    <rPh sb="337" eb="338">
      <t>エ</t>
    </rPh>
    <rPh sb="341" eb="343">
      <t>ケッカ</t>
    </rPh>
    <rPh sb="344" eb="346">
      <t>ジッサイ</t>
    </rPh>
    <rPh sb="347" eb="350">
      <t>ショウガクキン</t>
    </rPh>
    <rPh sb="351" eb="353">
      <t>センコウ</t>
    </rPh>
    <rPh sb="353" eb="355">
      <t>ケッカ</t>
    </rPh>
    <rPh sb="356" eb="358">
      <t>ソウイ</t>
    </rPh>
    <rPh sb="360" eb="362">
      <t>バアイ</t>
    </rPh>
    <rPh sb="368" eb="369">
      <t>ホン</t>
    </rPh>
    <rPh sb="369" eb="371">
      <t>キコウ</t>
    </rPh>
    <rPh sb="374" eb="376">
      <t>セキニン</t>
    </rPh>
    <rPh sb="377" eb="378">
      <t>オ</t>
    </rPh>
    <rPh sb="404" eb="405">
      <t>ホン</t>
    </rPh>
    <rPh sb="405" eb="407">
      <t>キコウ</t>
    </rPh>
    <rPh sb="408" eb="409">
      <t>ベツ</t>
    </rPh>
    <rPh sb="410" eb="412">
      <t>コウヒョウ</t>
    </rPh>
    <rPh sb="417" eb="425">
      <t>シキュウガクサンテイキジュンガク</t>
    </rPh>
    <rPh sb="426" eb="428">
      <t>タイヨ</t>
    </rPh>
    <phoneticPr fontId="1"/>
  </si>
  <si>
    <t>特定親族特別控除額（円）</t>
    <rPh sb="0" eb="4">
      <t>トクテイシンゾク</t>
    </rPh>
    <rPh sb="4" eb="6">
      <t>トクベツ</t>
    </rPh>
    <rPh sb="6" eb="8">
      <t>コウジョ</t>
    </rPh>
    <rPh sb="8" eb="9">
      <t>ガク</t>
    </rPh>
    <phoneticPr fontId="1"/>
  </si>
  <si>
    <t>Ⅱ．地方税情報</t>
    <phoneticPr fontId="1"/>
  </si>
  <si>
    <t>0…2026改正前、1…2026改正後</t>
    <rPh sb="6" eb="9">
      <t>カイセイマエ</t>
    </rPh>
    <rPh sb="16" eb="19">
      <t>カイセイゴ</t>
    </rPh>
    <phoneticPr fontId="1"/>
  </si>
  <si>
    <t>税制改正新旧判定の変更に伴う修正</t>
    <rPh sb="0" eb="4">
      <t>ゼイセイカイセイ</t>
    </rPh>
    <rPh sb="4" eb="6">
      <t>シンキュウ</t>
    </rPh>
    <rPh sb="6" eb="8">
      <t>ハンテイ</t>
    </rPh>
    <rPh sb="9" eb="11">
      <t>ヘンコウ</t>
    </rPh>
    <rPh sb="12" eb="13">
      <t>トモナ</t>
    </rPh>
    <rPh sb="14" eb="16">
      <t>シュウセイ</t>
    </rPh>
    <phoneticPr fontId="1"/>
  </si>
  <si>
    <t>多子要件</t>
    <rPh sb="0" eb="2">
      <t>タシ</t>
    </rPh>
    <rPh sb="2" eb="4">
      <t>ヨウケン</t>
    </rPh>
    <phoneticPr fontId="1"/>
  </si>
  <si>
    <t>本人扶養要件</t>
    <rPh sb="0" eb="2">
      <t>ホンニン</t>
    </rPh>
    <rPh sb="2" eb="4">
      <t>フヨウ</t>
    </rPh>
    <rPh sb="4" eb="6">
      <t>ヨウケン</t>
    </rPh>
    <phoneticPr fontId="1"/>
  </si>
  <si>
    <t>特定親族の「子ども」の上限</t>
    <rPh sb="0" eb="2">
      <t>トクテイ</t>
    </rPh>
    <rPh sb="2" eb="4">
      <t>シンゾク</t>
    </rPh>
    <rPh sb="6" eb="7">
      <t>コ</t>
    </rPh>
    <rPh sb="11" eb="13">
      <t>ジョウゲン</t>
    </rPh>
    <phoneticPr fontId="1"/>
  </si>
  <si>
    <t>本人特定親族判定</t>
    <rPh sb="0" eb="2">
      <t>ホンニン</t>
    </rPh>
    <rPh sb="2" eb="4">
      <t>トクテイ</t>
    </rPh>
    <rPh sb="4" eb="6">
      <t>シンゾク</t>
    </rPh>
    <rPh sb="6" eb="8">
      <t>ハンテイ</t>
    </rPh>
    <phoneticPr fontId="1"/>
  </si>
  <si>
    <t>特定親族特別控除額を45万円で割った商</t>
    <rPh sb="0" eb="4">
      <t>トクテイシンゾク</t>
    </rPh>
    <rPh sb="4" eb="6">
      <t>トクベツ</t>
    </rPh>
    <rPh sb="6" eb="8">
      <t>コウジョ</t>
    </rPh>
    <rPh sb="8" eb="9">
      <t>ガク</t>
    </rPh>
    <rPh sb="12" eb="14">
      <t>マンエン</t>
    </rPh>
    <rPh sb="15" eb="16">
      <t>ワ</t>
    </rPh>
    <rPh sb="18" eb="19">
      <t>ショウ</t>
    </rPh>
    <phoneticPr fontId="1"/>
  </si>
  <si>
    <t>0…本人は子どもカウントの特定親族でないor税制改正前である、1…本人は子どもカウントの特定親族である、2…本人は子どもカウントの特定親族早生まれである</t>
    <rPh sb="2" eb="4">
      <t>ホンニン</t>
    </rPh>
    <rPh sb="13" eb="15">
      <t>トクテイ</t>
    </rPh>
    <rPh sb="15" eb="17">
      <t>シンゾク</t>
    </rPh>
    <rPh sb="22" eb="24">
      <t>ゼイセイ</t>
    </rPh>
    <rPh sb="24" eb="26">
      <t>カイセイ</t>
    </rPh>
    <rPh sb="26" eb="27">
      <t>マエ</t>
    </rPh>
    <rPh sb="33" eb="35">
      <t>ホンニン</t>
    </rPh>
    <rPh sb="44" eb="46">
      <t>トクテイ</t>
    </rPh>
    <rPh sb="46" eb="48">
      <t>シンゾク</t>
    </rPh>
    <rPh sb="54" eb="56">
      <t>ホンニン</t>
    </rPh>
    <rPh sb="65" eb="67">
      <t>トクテイ</t>
    </rPh>
    <rPh sb="67" eb="69">
      <t>シンゾク</t>
    </rPh>
    <rPh sb="69" eb="71">
      <t>ハヤウ</t>
    </rPh>
    <phoneticPr fontId="1"/>
  </si>
  <si>
    <t>「扶養されているを選択」かつ「合計所得金額58万円以下」を満たすか、子どもカウントの特定親族(早生まれ含)になっているか、どちらかを満たす場合1</t>
    <rPh sb="1" eb="3">
      <t>フヨウ</t>
    </rPh>
    <rPh sb="9" eb="11">
      <t>センタク</t>
    </rPh>
    <rPh sb="15" eb="21">
      <t>ゴウケイショトクキンガク</t>
    </rPh>
    <rPh sb="23" eb="25">
      <t>マンエン</t>
    </rPh>
    <rPh sb="25" eb="27">
      <t>イカ</t>
    </rPh>
    <rPh sb="29" eb="30">
      <t>ミ</t>
    </rPh>
    <rPh sb="42" eb="44">
      <t>トクテイ</t>
    </rPh>
    <rPh sb="44" eb="46">
      <t>シンゾク</t>
    </rPh>
    <rPh sb="47" eb="49">
      <t>ハヤウ</t>
    </rPh>
    <rPh sb="51" eb="52">
      <t>フク</t>
    </rPh>
    <rPh sb="66" eb="67">
      <t>ミ</t>
    </rPh>
    <rPh sb="69" eb="71">
      <t>バアイ</t>
    </rPh>
    <phoneticPr fontId="1"/>
  </si>
  <si>
    <t>申告子どもの数と税情報上の数を比較しているが、申告側について、本人を「扶養していない」と回答していても、子どもカウントの特定親族(早生まれ含)の場合は本人分として+1する。税情報側も同様の条件で+1するが、こちらは「扶養していない」と回答しているかは関係ないのでその部分のみ除いている</t>
    <rPh sb="0" eb="2">
      <t>シンコク</t>
    </rPh>
    <rPh sb="2" eb="3">
      <t>コ</t>
    </rPh>
    <rPh sb="6" eb="7">
      <t>カズ</t>
    </rPh>
    <rPh sb="8" eb="9">
      <t>ゼイ</t>
    </rPh>
    <rPh sb="9" eb="11">
      <t>ジョウホウ</t>
    </rPh>
    <rPh sb="11" eb="12">
      <t>ジョウ</t>
    </rPh>
    <rPh sb="13" eb="14">
      <t>カズ</t>
    </rPh>
    <rPh sb="15" eb="17">
      <t>ヒカク</t>
    </rPh>
    <rPh sb="23" eb="25">
      <t>シンコク</t>
    </rPh>
    <rPh sb="25" eb="26">
      <t>ガワ</t>
    </rPh>
    <rPh sb="31" eb="33">
      <t>ホンニン</t>
    </rPh>
    <rPh sb="35" eb="37">
      <t>フヨウ</t>
    </rPh>
    <rPh sb="44" eb="46">
      <t>カイトウ</t>
    </rPh>
    <rPh sb="52" eb="53">
      <t>コ</t>
    </rPh>
    <rPh sb="60" eb="62">
      <t>トクテイ</t>
    </rPh>
    <rPh sb="62" eb="64">
      <t>シンゾク</t>
    </rPh>
    <rPh sb="65" eb="67">
      <t>ハヤウ</t>
    </rPh>
    <rPh sb="69" eb="70">
      <t>フク</t>
    </rPh>
    <rPh sb="72" eb="74">
      <t>バアイ</t>
    </rPh>
    <rPh sb="75" eb="77">
      <t>ホンニン</t>
    </rPh>
    <rPh sb="77" eb="78">
      <t>ブン</t>
    </rPh>
    <rPh sb="86" eb="87">
      <t>ゼイ</t>
    </rPh>
    <rPh sb="87" eb="89">
      <t>ジョウホウ</t>
    </rPh>
    <rPh sb="89" eb="90">
      <t>ガワ</t>
    </rPh>
    <rPh sb="91" eb="93">
      <t>ドウヨウ</t>
    </rPh>
    <rPh sb="94" eb="96">
      <t>ジョウケン</t>
    </rPh>
    <rPh sb="108" eb="110">
      <t>フヨウ</t>
    </rPh>
    <rPh sb="117" eb="119">
      <t>カイトウ</t>
    </rPh>
    <rPh sb="125" eb="127">
      <t>カンケイ</t>
    </rPh>
    <rPh sb="133" eb="135">
      <t>ブブン</t>
    </rPh>
    <rPh sb="137" eb="138">
      <t>ノゾ</t>
    </rPh>
    <phoneticPr fontId="1"/>
  </si>
  <si>
    <t>3人以上かどうか。「お助け機能」「新たな子」「きょうだい特定親族」「きょうだい早生まれ特定親族」は、実装しない。</t>
    <rPh sb="1" eb="2">
      <t>ニン</t>
    </rPh>
    <rPh sb="2" eb="4">
      <t>イジョウ</t>
    </rPh>
    <rPh sb="11" eb="12">
      <t>タス</t>
    </rPh>
    <rPh sb="13" eb="15">
      <t>キノウ</t>
    </rPh>
    <rPh sb="17" eb="18">
      <t>アラ</t>
    </rPh>
    <rPh sb="20" eb="21">
      <t>コ</t>
    </rPh>
    <rPh sb="28" eb="32">
      <t>トクテイシンゾク</t>
    </rPh>
    <rPh sb="39" eb="41">
      <t>ハヤウ</t>
    </rPh>
    <rPh sb="43" eb="47">
      <t>トクテイシンゾク</t>
    </rPh>
    <rPh sb="50" eb="52">
      <t>ジッソウ</t>
    </rPh>
    <phoneticPr fontId="1"/>
  </si>
  <si>
    <t>本人扶養要件と多子要件を見る形に変更(以前は２要件をこのセルで同時に確認するみたいな式だった)</t>
    <rPh sb="0" eb="2">
      <t>ホンニン</t>
    </rPh>
    <rPh sb="2" eb="4">
      <t>フヨウ</t>
    </rPh>
    <rPh sb="4" eb="6">
      <t>ヨウケン</t>
    </rPh>
    <rPh sb="7" eb="9">
      <t>タシ</t>
    </rPh>
    <rPh sb="9" eb="11">
      <t>ヨウケン</t>
    </rPh>
    <rPh sb="12" eb="13">
      <t>ミ</t>
    </rPh>
    <rPh sb="14" eb="15">
      <t>カタチ</t>
    </rPh>
    <rPh sb="16" eb="18">
      <t>ヘンコウ</t>
    </rPh>
    <rPh sb="19" eb="21">
      <t>イゼン</t>
    </rPh>
    <rPh sb="23" eb="25">
      <t>ヨウケン</t>
    </rPh>
    <rPh sb="31" eb="33">
      <t>ドウジ</t>
    </rPh>
    <rPh sb="34" eb="36">
      <t>カクニン</t>
    </rPh>
    <rPh sb="42" eb="43">
      <t>シキ</t>
    </rPh>
    <phoneticPr fontId="1"/>
  </si>
  <si>
    <t>控除額</t>
    <rPh sb="0" eb="2">
      <t>コウジョ</t>
    </rPh>
    <rPh sb="2" eb="3">
      <t>ガク</t>
    </rPh>
    <phoneticPr fontId="1"/>
  </si>
  <si>
    <t>早生まれ特特控除額</t>
    <rPh sb="0" eb="2">
      <t>ハヤウ</t>
    </rPh>
    <rPh sb="4" eb="5">
      <t>トク</t>
    </rPh>
    <rPh sb="5" eb="6">
      <t>トク</t>
    </rPh>
    <rPh sb="6" eb="8">
      <t>コウジョ</t>
    </rPh>
    <rPh sb="8" eb="9">
      <t>ガク</t>
    </rPh>
    <phoneticPr fontId="1"/>
  </si>
  <si>
    <t>早生まれフラグ</t>
    <rPh sb="0" eb="2">
      <t>ハヤウ</t>
    </rPh>
    <phoneticPr fontId="1"/>
  </si>
  <si>
    <t>特定親族所得範囲フラグ</t>
    <rPh sb="0" eb="2">
      <t>トクテイ</t>
    </rPh>
    <rPh sb="2" eb="4">
      <t>シンゾク</t>
    </rPh>
    <rPh sb="4" eb="6">
      <t>ショトク</t>
    </rPh>
    <rPh sb="6" eb="8">
      <t>ハンイ</t>
    </rPh>
    <phoneticPr fontId="1"/>
  </si>
  <si>
    <t>早生まれ特定親族特別控除額</t>
    <rPh sb="0" eb="2">
      <t>ハヤウ</t>
    </rPh>
    <rPh sb="4" eb="6">
      <t>トクテイ</t>
    </rPh>
    <rPh sb="6" eb="12">
      <t>シンゾクトクベツコウジョ</t>
    </rPh>
    <rPh sb="12" eb="13">
      <t>ガク</t>
    </rPh>
    <phoneticPr fontId="1"/>
  </si>
  <si>
    <t>計算は計算シート２で処理</t>
    <rPh sb="0" eb="2">
      <t>ケイサン</t>
    </rPh>
    <rPh sb="3" eb="5">
      <t>ケイサン</t>
    </rPh>
    <rPh sb="10" eb="12">
      <t>ショリ</t>
    </rPh>
    <phoneticPr fontId="1"/>
  </si>
  <si>
    <t>「本人合計所得金額が58万円(税制改正前は48万円)以下の場合のとき」の条件を追加。今まで、無くて大丈夫だったのか…？</t>
    <rPh sb="1" eb="3">
      <t>ホンニン</t>
    </rPh>
    <rPh sb="3" eb="5">
      <t>ゴウケイ</t>
    </rPh>
    <rPh sb="5" eb="7">
      <t>ショトク</t>
    </rPh>
    <rPh sb="7" eb="9">
      <t>キンガク</t>
    </rPh>
    <rPh sb="12" eb="14">
      <t>マンエン</t>
    </rPh>
    <rPh sb="15" eb="19">
      <t>ゼイセイカイセイ</t>
    </rPh>
    <rPh sb="19" eb="20">
      <t>マエ</t>
    </rPh>
    <rPh sb="23" eb="25">
      <t>マンエン</t>
    </rPh>
    <rPh sb="26" eb="28">
      <t>イカ</t>
    </rPh>
    <rPh sb="29" eb="31">
      <t>バアイ</t>
    </rPh>
    <rPh sb="36" eb="38">
      <t>ジョウケン</t>
    </rPh>
    <rPh sb="39" eb="41">
      <t>ツイカ</t>
    </rPh>
    <rPh sb="42" eb="43">
      <t>イマ</t>
    </rPh>
    <rPh sb="46" eb="47">
      <t>ナ</t>
    </rPh>
    <rPh sb="49" eb="52">
      <t>ダイジョウブ</t>
    </rPh>
    <phoneticPr fontId="1"/>
  </si>
  <si>
    <t>早生まれ特定親族特別控除額を引く</t>
    <rPh sb="14" eb="15">
      <t>ヒ</t>
    </rPh>
    <phoneticPr fontId="1"/>
  </si>
  <si>
    <t>フラグが立たないことがないため、1固定にした</t>
    <rPh sb="4" eb="5">
      <t>タ</t>
    </rPh>
    <rPh sb="17" eb="19">
      <t>コテイ</t>
    </rPh>
    <phoneticPr fontId="1"/>
  </si>
  <si>
    <t>生計維持者２</t>
  </si>
  <si>
    <r>
      <t>【各項目の説明】
１．(1)奨学金に申請した年度を入力します。給付奨学金の経済基準の適格認定に関しては、適格認定を行う年度になります。
２．(2)申込の区分を選択します。高校等で申し込む場合は「予約採用」、進学先で申し込む場合は「在学採用」です。「在学採用」や給付奨学金の「経済基準の適格認定」を選択した場合、(6)で学校が国・公立か私立かも選択します（大学院を除く）。
※本ツールは、緊急・応急採用、家計急変採用、海外留学を対象とした奨学金には対応していません。
３．(3)「第一種奨学金」「第二種奨学金」「第一種と第二種の両方」（以上は貸与奨学金です。）「給付奨学金」の中から、申請した種類を選びます。このとき、</t>
    </r>
    <r>
      <rPr>
        <sz val="11"/>
        <rFont val="ＭＳ Ｐゴシック"/>
        <family val="3"/>
        <charset val="128"/>
        <scheme val="minor"/>
      </rPr>
      <t>（2）が「大学等予約採用」以外で貸与奨学金を選択していて(6)が「私立」の場合、(7)で通学形態も選択します（大学院を除く）。さらに、（2）の選択に関わらず「第一種と第二種の両方」を選んだ場合、(8)で第一種と第二種のどちらを優先するかを選びます。給付奨学金を選択していて（2）が「大学等予約採用」以外で(6)が私立の場合、(11)で在籍している学科等の分野が理工農系であるかどうかも選びます。
４．(4)生計維持者の人数を選択します（大学院を除く）。父母がいる場合は父母が生計維持者になりますので、２名です。１名を選んだ場合、(9)でその人の続柄を選択します。
５．(5)生計維持者が扶養している「子ども」（扶養親族のうち生計維持者の尊属でなく、扶養している者より年長でない者）の数を入力します（大学院を除く）。また、給付奨学金・独立生計以外の場合には、(10)で申込者本人が扶養されていたかも選びます。</t>
    </r>
    <r>
      <rPr>
        <sz val="9"/>
        <rFont val="ＭＳ Ｐゴシック"/>
        <family val="3"/>
        <charset val="128"/>
        <scheme val="minor"/>
      </rPr>
      <t>【この判定は、最終的には機構が行います。】</t>
    </r>
    <r>
      <rPr>
        <sz val="11"/>
        <rFont val="ＭＳ Ｐゴシック"/>
        <family val="3"/>
        <charset val="128"/>
        <scheme val="minor"/>
      </rPr>
      <t xml:space="preserve">
６．生計維持者が２人の場合、(12)が表示されるので、以下17まで同様に入力してください（大学院の場合、配偶者欄を表示）。給付奨学金の場合、本人の情報に関しても入力が必要です。
７．(13)に課税証明書の「合計所得金額」を入力します。
８．(14)(15)で、課税証明書に記載されている方が、課税証明書における障がい者か、寡婦・ひとり親であれば、該当する旨を選択します。
９．(16)で課税証明書に記載されている方の生年月日を入力します。また、申込者本人の生年月日も(17)に入力します。
10．(18)課税証明書に記載されている方がその税の年度の初日の属する年の１月１日に生活扶助を受給している場合、その旨を選択します。
11．(19)課税証明書の「繰越控除」を入力します。証明書上に存在しない場合、「合計所得金額」から「総所得金額等」を引いた額を入力します。
12．(20)課税証明書で「配偶者控除」に該当している場合、その旨を選択します。（「配偶者特別控除」は関係しません。）
13．(21)～(23)課税証明書の「扶養控除」の内訳（人数）及び(24)「16歳未満扶養親族」の人数を入力します。「その他」がある場合「一般」に数えます。</t>
    </r>
    <r>
      <rPr>
        <sz val="11"/>
        <color rgb="FFFF00FF"/>
        <rFont val="ＭＳ Ｐゴシック"/>
        <family val="3"/>
        <charset val="128"/>
        <scheme val="minor"/>
      </rPr>
      <t>また、(25)「特定親族特別控除額」欄が表示されている場合は、その金額を入力します(証明書に記載が無い場合は0を入力します)。</t>
    </r>
    <r>
      <rPr>
        <sz val="11"/>
        <rFont val="ＭＳ Ｐゴシック"/>
        <family val="3"/>
        <charset val="128"/>
        <scheme val="minor"/>
      </rPr>
      <t xml:space="preserve">
14．(</t>
    </r>
    <r>
      <rPr>
        <sz val="11"/>
        <color rgb="FFFF00FF"/>
        <rFont val="ＭＳ Ｐゴシック"/>
        <family val="3"/>
        <charset val="128"/>
        <scheme val="minor"/>
      </rPr>
      <t>26</t>
    </r>
    <r>
      <rPr>
        <sz val="11"/>
        <rFont val="ＭＳ Ｐゴシック"/>
        <family val="3"/>
        <charset val="128"/>
        <scheme val="minor"/>
      </rPr>
      <t>)課税証明書の「課税標準額」を入力します。存在しない場合、「課税総所得金額」など「課税○○金額」を全て合計した額を入力します。
15．(</t>
    </r>
    <r>
      <rPr>
        <sz val="11"/>
        <color rgb="FFFF00FF"/>
        <rFont val="ＭＳ Ｐゴシック"/>
        <family val="3"/>
        <charset val="128"/>
        <scheme val="minor"/>
      </rPr>
      <t>27</t>
    </r>
    <r>
      <rPr>
        <sz val="11"/>
        <rFont val="ＭＳ Ｐゴシック"/>
        <family val="3"/>
        <charset val="128"/>
        <scheme val="minor"/>
      </rPr>
      <t>)課税証明書の「市（区）町村民税の調整控除額」を入力します。「（都）道府県民税の調整控除額」や「税源移譲前の額」は入力しません。
16．(</t>
    </r>
    <r>
      <rPr>
        <sz val="11"/>
        <color rgb="FFFF00FF"/>
        <rFont val="ＭＳ Ｐゴシック"/>
        <family val="3"/>
        <charset val="128"/>
        <scheme val="minor"/>
      </rPr>
      <t>28</t>
    </r>
    <r>
      <rPr>
        <sz val="11"/>
        <rFont val="ＭＳ Ｐゴシック"/>
        <family val="3"/>
        <charset val="128"/>
        <scheme val="minor"/>
      </rPr>
      <t>)給付奨学金の場合、「市（区）町村民税の調整額」を入力します。「（都）道府県民税の調整額」や「税源移譲前の額」は入力しません。
17．(</t>
    </r>
    <r>
      <rPr>
        <sz val="11"/>
        <color rgb="FFFF00FF"/>
        <rFont val="ＭＳ Ｐゴシック"/>
        <family val="3"/>
        <charset val="128"/>
        <scheme val="minor"/>
      </rPr>
      <t>29</t>
    </r>
    <r>
      <rPr>
        <sz val="11"/>
        <rFont val="ＭＳ Ｐゴシック"/>
        <family val="3"/>
        <charset val="128"/>
        <scheme val="minor"/>
      </rPr>
      <t>)課税証明書の発行者（市町村民税を賦課した地方公共団体）が政令指定都市である場合には、その旨を選択します。
18．以上の手順を全ての生計維持者について入力すると、(</t>
    </r>
    <r>
      <rPr>
        <sz val="11"/>
        <color rgb="FFFF00FF"/>
        <rFont val="ＭＳ Ｐゴシック"/>
        <family val="3"/>
        <charset val="128"/>
        <scheme val="minor"/>
      </rPr>
      <t>30</t>
    </r>
    <r>
      <rPr>
        <sz val="11"/>
        <rFont val="ＭＳ Ｐゴシック"/>
        <family val="3"/>
        <charset val="128"/>
        <scheme val="minor"/>
      </rPr>
      <t>)ここに計算過程及び計算結果が表示されます。貸与奨学金の場合は貸与額算定基準額及び希望する奨学金の家計基準の適格有無が、給付奨学金の場合は該当する支援区分が表示されます。
19．大学院の申し込みの場合、(2)で大学院から始まる申込の区分を選択します。その際、(</t>
    </r>
    <r>
      <rPr>
        <sz val="11"/>
        <color rgb="FFFF00FF"/>
        <rFont val="ＭＳ Ｐゴシック"/>
        <family val="3"/>
        <charset val="128"/>
        <scheme val="minor"/>
      </rPr>
      <t>31</t>
    </r>
    <r>
      <rPr>
        <sz val="11"/>
        <rFont val="ＭＳ Ｐゴシック"/>
        <family val="3"/>
        <charset val="128"/>
        <scheme val="minor"/>
      </rPr>
      <t>)で修士課程か博士課程かを選択します。
また、大学院の場合、生計維持者ではなく申込者本人及びその配偶者（いる場合のみ）の所得等の情報を入力してください。なお、大学院修士段階における授業料後払い制度の基準は、第一種奨学金と同じです。</t>
    </r>
    <rPh sb="177" eb="180">
      <t>ダイガクイン</t>
    </rPh>
    <rPh sb="181" eb="182">
      <t>ノゾ</t>
    </rPh>
    <rPh sb="313" eb="320">
      <t>ダイガクトウヨヤクサイヨウ</t>
    </rPh>
    <rPh sb="321" eb="323">
      <t>イガイ</t>
    </rPh>
    <rPh sb="379" eb="381">
      <t>センタク</t>
    </rPh>
    <rPh sb="382" eb="383">
      <t>カカ</t>
    </rPh>
    <rPh sb="678" eb="680">
      <t>イガイ</t>
    </rPh>
    <rPh sb="714" eb="716">
      <t>ハンテイ</t>
    </rPh>
    <rPh sb="718" eb="721">
      <t>サイシュウテキ</t>
    </rPh>
    <rPh sb="723" eb="725">
      <t>キコウ</t>
    </rPh>
    <rPh sb="726" eb="727">
      <t>オコナ</t>
    </rPh>
    <rPh sb="782" eb="784">
      <t>バアイ</t>
    </rPh>
    <rPh sb="785" eb="788">
      <t>ハイグウシャ</t>
    </rPh>
    <rPh sb="788" eb="789">
      <t>ラン</t>
    </rPh>
    <rPh sb="790" eb="792">
      <t>ヒョウジ</t>
    </rPh>
    <rPh sb="1261" eb="1265">
      <t>トクテイシンゾク</t>
    </rPh>
    <rPh sb="1265" eb="1267">
      <t>トクベツ</t>
    </rPh>
    <rPh sb="1267" eb="1269">
      <t>コウジョ</t>
    </rPh>
    <rPh sb="1269" eb="1270">
      <t>ガク</t>
    </rPh>
    <rPh sb="1271" eb="1272">
      <t>ラン</t>
    </rPh>
    <rPh sb="1273" eb="1275">
      <t>ヒョウジ</t>
    </rPh>
    <rPh sb="1280" eb="1282">
      <t>バアイ</t>
    </rPh>
    <rPh sb="1286" eb="1288">
      <t>キンガク</t>
    </rPh>
    <rPh sb="1289" eb="1291">
      <t>ニュウリョク</t>
    </rPh>
    <rPh sb="1295" eb="1298">
      <t>ショウメイショ</t>
    </rPh>
    <rPh sb="1299" eb="1301">
      <t>キサイ</t>
    </rPh>
    <rPh sb="1302" eb="1303">
      <t>ナ</t>
    </rPh>
    <rPh sb="1304" eb="1306">
      <t>バアイ</t>
    </rPh>
    <rPh sb="1309" eb="1311">
      <t>ニュウリョク</t>
    </rPh>
    <rPh sb="1465" eb="1467">
      <t>キュウフ</t>
    </rPh>
    <rPh sb="1467" eb="1470">
      <t>ショウガクキン</t>
    </rPh>
    <rPh sb="1471" eb="1473">
      <t>バアイ</t>
    </rPh>
    <rPh sb="1591" eb="1593">
      <t>イジョウ</t>
    </rPh>
    <rPh sb="1622" eb="1624">
      <t>ケイサン</t>
    </rPh>
    <rPh sb="1624" eb="1626">
      <t>カテイ</t>
    </rPh>
    <rPh sb="1626" eb="1627">
      <t>オヨ</t>
    </rPh>
    <rPh sb="1628" eb="1630">
      <t>ケイサン</t>
    </rPh>
    <rPh sb="1640" eb="1642">
      <t>タイヨ</t>
    </rPh>
    <rPh sb="1642" eb="1645">
      <t>ショウガクキン</t>
    </rPh>
    <rPh sb="1646" eb="1648">
      <t>バアイ</t>
    </rPh>
    <rPh sb="1649" eb="1657">
      <t>タイヨガクサンテイキジュンガク</t>
    </rPh>
    <rPh sb="1657" eb="1658">
      <t>オヨ</t>
    </rPh>
    <rPh sb="1659" eb="1661">
      <t>キボウ</t>
    </rPh>
    <rPh sb="1663" eb="1666">
      <t>ショウガクキン</t>
    </rPh>
    <rPh sb="1667" eb="1669">
      <t>カケイ</t>
    </rPh>
    <rPh sb="1669" eb="1671">
      <t>キジュン</t>
    </rPh>
    <rPh sb="1672" eb="1674">
      <t>テキカク</t>
    </rPh>
    <rPh sb="1674" eb="1676">
      <t>ウム</t>
    </rPh>
    <rPh sb="1678" eb="1680">
      <t>キュウフ</t>
    </rPh>
    <rPh sb="1680" eb="1683">
      <t>ショウガクキン</t>
    </rPh>
    <rPh sb="1684" eb="1686">
      <t>バアイ</t>
    </rPh>
    <rPh sb="1687" eb="1689">
      <t>ガイトウ</t>
    </rPh>
    <rPh sb="1691" eb="1693">
      <t>シエン</t>
    </rPh>
    <rPh sb="1693" eb="1695">
      <t>クブン</t>
    </rPh>
    <rPh sb="1696" eb="1698">
      <t>ヒョウジ</t>
    </rPh>
    <rPh sb="1707" eb="1710">
      <t>ダイガクイン</t>
    </rPh>
    <rPh sb="1711" eb="1712">
      <t>モウ</t>
    </rPh>
    <rPh sb="1713" eb="1714">
      <t>コ</t>
    </rPh>
    <rPh sb="1716" eb="1718">
      <t>バアイ</t>
    </rPh>
    <rPh sb="1723" eb="1726">
      <t>ダイガクイン</t>
    </rPh>
    <rPh sb="1728" eb="1729">
      <t>ハジ</t>
    </rPh>
    <rPh sb="1731" eb="1733">
      <t>モウシコミ</t>
    </rPh>
    <rPh sb="1734" eb="1736">
      <t>クブン</t>
    </rPh>
    <rPh sb="1737" eb="1739">
      <t>センタク</t>
    </rPh>
    <rPh sb="1745" eb="1746">
      <t>サイ</t>
    </rPh>
    <rPh sb="1752" eb="1754">
      <t>シュウシ</t>
    </rPh>
    <rPh sb="1754" eb="1756">
      <t>カテイ</t>
    </rPh>
    <rPh sb="1757" eb="1759">
      <t>ハクシ</t>
    </rPh>
    <rPh sb="1759" eb="1761">
      <t>カテイ</t>
    </rPh>
    <rPh sb="1763" eb="1765">
      <t>センタク</t>
    </rPh>
    <rPh sb="1773" eb="1776">
      <t>ダイガクイン</t>
    </rPh>
    <rPh sb="1777" eb="1779">
      <t>バアイ</t>
    </rPh>
    <rPh sb="1780" eb="1782">
      <t>セイケイ</t>
    </rPh>
    <rPh sb="1782" eb="1784">
      <t>イジ</t>
    </rPh>
    <rPh sb="1784" eb="1785">
      <t>シャ</t>
    </rPh>
    <rPh sb="1789" eb="1791">
      <t>モウシコミ</t>
    </rPh>
    <rPh sb="1791" eb="1792">
      <t>シャ</t>
    </rPh>
    <rPh sb="1792" eb="1794">
      <t>ホンニン</t>
    </rPh>
    <rPh sb="1794" eb="1795">
      <t>オヨ</t>
    </rPh>
    <rPh sb="1798" eb="1801">
      <t>ハイグウシャ</t>
    </rPh>
    <rPh sb="1804" eb="1806">
      <t>バアイ</t>
    </rPh>
    <rPh sb="1810" eb="1812">
      <t>ショトク</t>
    </rPh>
    <rPh sb="1812" eb="1813">
      <t>トウ</t>
    </rPh>
    <rPh sb="1814" eb="1816">
      <t>ジョウホウ</t>
    </rPh>
    <rPh sb="1817" eb="1819">
      <t>ニュウリョク</t>
    </rPh>
    <rPh sb="1829" eb="1832">
      <t>ダイガクイン</t>
    </rPh>
    <rPh sb="1832" eb="1834">
      <t>シュウシ</t>
    </rPh>
    <rPh sb="1834" eb="1836">
      <t>ダンカイ</t>
    </rPh>
    <rPh sb="1840" eb="1845">
      <t>ジュギョウリョウアトバラ</t>
    </rPh>
    <rPh sb="1846" eb="1848">
      <t>セイド</t>
    </rPh>
    <rPh sb="1849" eb="1851">
      <t>キジュン</t>
    </rPh>
    <rPh sb="1853" eb="1856">
      <t>ダイイッシュ</t>
    </rPh>
    <rPh sb="1856" eb="1859">
      <t>ショウガクキン</t>
    </rPh>
    <rPh sb="1860" eb="1861">
      <t>オナ</t>
    </rPh>
    <phoneticPr fontId="1"/>
  </si>
  <si>
    <t>給付奨学金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</si>
</sst>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4"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b/>
      <sz val="10"/>
      <color theme="1"/>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sz val="9"/>
      <name val="ＭＳ Ｐゴシック"/>
      <family val="3"/>
      <charset val="128"/>
      <scheme val="minor"/>
    </font>
    <font>
      <sz val="14"/>
      <color rgb="FFFF0000"/>
      <name val="ＭＳ Ｐゴシック"/>
      <family val="2"/>
      <scheme val="minor"/>
    </font>
    <font>
      <sz val="11"/>
      <color theme="1"/>
      <name val="ＭＳ Ｐゴシック"/>
      <family val="2"/>
      <scheme val="minor"/>
    </font>
    <font>
      <sz val="14"/>
      <name val="ＭＳ Ｐゴシック"/>
      <family val="3"/>
      <charset val="128"/>
      <scheme val="minor"/>
    </font>
    <font>
      <sz val="11"/>
      <color rgb="FFFF00FF"/>
      <name val="ＭＳ Ｐ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theme="1"/>
        <bgColor indexed="64"/>
      </patternFill>
    </fill>
    <fill>
      <patternFill patternType="solid">
        <fgColor theme="0" tint="-0.1499984740745262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ck">
        <color rgb="FFFF0000"/>
      </bottom>
      <diagonal/>
    </border>
    <border>
      <left/>
      <right/>
      <top style="thin">
        <color indexed="64"/>
      </top>
      <bottom style="thick">
        <color rgb="FFFF0000"/>
      </bottom>
      <diagonal/>
    </border>
    <border>
      <left/>
      <right style="medium">
        <color indexed="64"/>
      </right>
      <top style="thin">
        <color indexed="64"/>
      </top>
      <bottom style="thick">
        <color rgb="FFFF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double">
        <color indexed="64"/>
      </right>
      <top style="thin">
        <color indexed="64"/>
      </top>
      <bottom style="double">
        <color indexed="64"/>
      </bottom>
      <diagonal/>
    </border>
  </borders>
  <cellStyleXfs count="2">
    <xf numFmtId="0" fontId="0" fillId="0" borderId="0"/>
    <xf numFmtId="38" fontId="21" fillId="0" borderId="0" applyFont="0" applyFill="0" applyBorder="0" applyAlignment="0" applyProtection="0">
      <alignment vertical="center"/>
    </xf>
  </cellStyleXfs>
  <cellXfs count="173">
    <xf numFmtId="0" fontId="0" fillId="0" borderId="0" xfId="0"/>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176" fontId="2" fillId="2" borderId="12" xfId="0" applyNumberFormat="1" applyFont="1" applyFill="1" applyBorder="1" applyAlignment="1">
      <alignment vertical="center" wrapText="1"/>
    </xf>
    <xf numFmtId="176" fontId="2" fillId="2" borderId="10" xfId="0" applyNumberFormat="1" applyFont="1" applyFill="1" applyBorder="1" applyAlignment="1">
      <alignment vertical="center" wrapText="1"/>
    </xf>
    <xf numFmtId="0" fontId="0" fillId="2" borderId="13" xfId="0" applyFill="1" applyBorder="1" applyAlignment="1">
      <alignment vertical="center"/>
    </xf>
    <xf numFmtId="176" fontId="0" fillId="2" borderId="12" xfId="0" applyNumberFormat="1" applyFill="1" applyBorder="1" applyAlignment="1">
      <alignment horizontal="center" vertical="center" wrapText="1"/>
    </xf>
    <xf numFmtId="0" fontId="0" fillId="0" borderId="16" xfId="0" applyBorder="1"/>
    <xf numFmtId="176" fontId="0" fillId="2" borderId="25" xfId="0" applyNumberFormat="1" applyFill="1" applyBorder="1" applyAlignment="1">
      <alignment horizontal="center" vertical="center" wrapText="1"/>
    </xf>
    <xf numFmtId="0" fontId="0" fillId="2" borderId="24"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21"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0" fillId="0" borderId="0" xfId="0" applyAlignment="1">
      <alignment vertical="center"/>
    </xf>
    <xf numFmtId="0" fontId="0" fillId="4" borderId="10"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10"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10"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2"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applyAlignment="1">
      <alignment vertical="center"/>
    </xf>
    <xf numFmtId="0" fontId="5" fillId="0" borderId="0" xfId="0" applyFont="1"/>
    <xf numFmtId="0" fontId="5" fillId="0" borderId="0" xfId="0" applyFont="1" applyAlignment="1">
      <alignment horizontal="left"/>
    </xf>
    <xf numFmtId="176" fontId="2" fillId="2" borderId="28" xfId="0" applyNumberFormat="1" applyFont="1" applyFill="1" applyBorder="1" applyAlignment="1">
      <alignment vertical="center" wrapText="1"/>
    </xf>
    <xf numFmtId="0" fontId="0" fillId="0" borderId="26" xfId="0" applyBorder="1" applyAlignment="1">
      <alignment horizontal="center" vertical="center"/>
    </xf>
    <xf numFmtId="0" fontId="6" fillId="0" borderId="0" xfId="0" applyFont="1" applyAlignment="1">
      <alignment horizontal="center" vertical="center"/>
    </xf>
    <xf numFmtId="0" fontId="0" fillId="2" borderId="13" xfId="0" applyFill="1" applyBorder="1" applyAlignment="1">
      <alignment vertical="center" shrinkToFit="1"/>
    </xf>
    <xf numFmtId="179" fontId="0" fillId="0" borderId="0" xfId="0" applyNumberFormat="1" applyAlignment="1">
      <alignment horizontal="right"/>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39"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8" fillId="3" borderId="43" xfId="0" applyFont="1" applyFill="1" applyBorder="1" applyAlignment="1">
      <alignment horizontal="center" vertical="center" wrapText="1"/>
    </xf>
    <xf numFmtId="0" fontId="8" fillId="3"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0" borderId="0" xfId="0" applyFont="1"/>
    <xf numFmtId="0" fontId="0" fillId="4" borderId="40" xfId="0" applyFill="1" applyBorder="1" applyAlignment="1">
      <alignment horizontal="center" vertical="center" shrinkToFit="1"/>
    </xf>
    <xf numFmtId="176" fontId="2" fillId="2" borderId="50" xfId="0" applyNumberFormat="1" applyFont="1" applyFill="1" applyBorder="1" applyAlignment="1">
      <alignment vertical="center" wrapText="1"/>
    </xf>
    <xf numFmtId="176" fontId="2" fillId="5" borderId="4" xfId="0" applyNumberFormat="1" applyFont="1" applyFill="1" applyBorder="1" applyAlignment="1">
      <alignment vertical="center" wrapText="1"/>
    </xf>
    <xf numFmtId="0" fontId="0" fillId="5" borderId="4" xfId="0" applyFill="1" applyBorder="1" applyAlignment="1">
      <alignment horizontal="center" vertical="center" wrapText="1"/>
    </xf>
    <xf numFmtId="177" fontId="0" fillId="5" borderId="4" xfId="0" applyNumberFormat="1" applyFill="1" applyBorder="1" applyAlignment="1">
      <alignment horizontal="center" vertical="center" wrapText="1"/>
    </xf>
    <xf numFmtId="0" fontId="0" fillId="5" borderId="7" xfId="0" applyFill="1" applyBorder="1" applyAlignment="1">
      <alignment horizontal="center" vertical="center" wrapText="1"/>
    </xf>
    <xf numFmtId="176" fontId="2" fillId="5" borderId="6" xfId="0" applyNumberFormat="1" applyFont="1" applyFill="1" applyBorder="1" applyAlignment="1">
      <alignment vertical="center" wrapText="1"/>
    </xf>
    <xf numFmtId="176" fontId="0" fillId="5" borderId="25" xfId="0" applyNumberFormat="1" applyFill="1" applyBorder="1" applyAlignment="1">
      <alignment horizontal="center" vertical="center" wrapText="1"/>
    </xf>
    <xf numFmtId="176" fontId="2" fillId="5" borderId="30" xfId="0" applyNumberFormat="1" applyFont="1" applyFill="1" applyBorder="1" applyAlignment="1">
      <alignment vertical="center" wrapText="1"/>
    </xf>
    <xf numFmtId="0" fontId="7" fillId="0" borderId="0" xfId="0" applyFont="1"/>
    <xf numFmtId="0" fontId="0" fillId="4" borderId="4" xfId="0" applyFill="1" applyBorder="1" applyAlignment="1">
      <alignment horizontal="center" vertical="center" shrinkToFit="1"/>
    </xf>
    <xf numFmtId="0" fontId="11" fillId="0" borderId="0" xfId="0" applyFont="1"/>
    <xf numFmtId="0" fontId="0" fillId="0" borderId="57" xfId="0" applyBorder="1"/>
    <xf numFmtId="0" fontId="0" fillId="0" borderId="57" xfId="0" applyBorder="1" applyAlignment="1">
      <alignment horizontal="right"/>
    </xf>
    <xf numFmtId="0" fontId="0" fillId="0" borderId="0" xfId="0" applyAlignment="1">
      <alignment horizontal="left" vertical="top" wrapText="1"/>
    </xf>
    <xf numFmtId="0" fontId="0" fillId="2" borderId="60" xfId="0" applyFill="1" applyBorder="1" applyAlignment="1">
      <alignment vertical="center" wrapText="1"/>
    </xf>
    <xf numFmtId="0" fontId="9" fillId="2" borderId="49" xfId="0" applyFont="1" applyFill="1" applyBorder="1" applyAlignment="1">
      <alignment wrapText="1"/>
    </xf>
    <xf numFmtId="0" fontId="0" fillId="2" borderId="46" xfId="0" applyFill="1" applyBorder="1" applyAlignment="1">
      <alignment wrapText="1"/>
    </xf>
    <xf numFmtId="0" fontId="13" fillId="2" borderId="61" xfId="0" applyFont="1" applyFill="1" applyBorder="1" applyAlignment="1">
      <alignment horizontal="center" vertical="center" wrapText="1"/>
    </xf>
    <xf numFmtId="0" fontId="14" fillId="2" borderId="61"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1" xfId="0" applyFont="1" applyFill="1" applyBorder="1" applyAlignment="1">
      <alignment horizontal="center" vertical="center" wrapText="1"/>
    </xf>
    <xf numFmtId="0" fontId="14" fillId="2" borderId="62"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59" xfId="0" applyFont="1" applyFill="1" applyBorder="1" applyAlignment="1">
      <alignment horizontal="center" vertical="center" wrapText="1"/>
    </xf>
    <xf numFmtId="0" fontId="15" fillId="0" borderId="0" xfId="0" applyFont="1" applyAlignment="1">
      <alignment vertical="center"/>
    </xf>
    <xf numFmtId="0" fontId="8" fillId="4" borderId="61" xfId="0" applyFont="1" applyFill="1" applyBorder="1" applyAlignment="1">
      <alignment horizontal="center" vertical="center" wrapText="1"/>
    </xf>
    <xf numFmtId="0" fontId="7" fillId="4" borderId="61" xfId="0" applyFont="1" applyFill="1" applyBorder="1" applyAlignment="1">
      <alignment horizontal="center" vertical="center"/>
    </xf>
    <xf numFmtId="0" fontId="7" fillId="4" borderId="58" xfId="0" applyFont="1" applyFill="1" applyBorder="1" applyAlignment="1">
      <alignment horizontal="center" vertical="center"/>
    </xf>
    <xf numFmtId="0" fontId="7" fillId="4" borderId="61"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8" fillId="4" borderId="59" xfId="0" applyFont="1" applyFill="1" applyBorder="1" applyAlignment="1">
      <alignment horizontal="center" vertical="center" wrapText="1"/>
    </xf>
    <xf numFmtId="0" fontId="8" fillId="2" borderId="3" xfId="0" applyFont="1" applyFill="1" applyBorder="1" applyAlignment="1">
      <alignment wrapText="1"/>
    </xf>
    <xf numFmtId="0" fontId="8" fillId="2" borderId="63" xfId="0" applyFont="1" applyFill="1" applyBorder="1" applyAlignment="1">
      <alignment wrapText="1"/>
    </xf>
    <xf numFmtId="0" fontId="0" fillId="2" borderId="64" xfId="0" applyFill="1" applyBorder="1" applyAlignment="1">
      <alignment vertical="center" wrapText="1"/>
    </xf>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vertical="center" wrapText="1"/>
    </xf>
    <xf numFmtId="0" fontId="4" fillId="0" borderId="0" xfId="0" applyFont="1" applyAlignment="1">
      <alignment horizontal="center" vertical="center" wrapText="1"/>
    </xf>
    <xf numFmtId="176" fontId="2" fillId="0" borderId="0" xfId="0" applyNumberFormat="1"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177" fontId="0" fillId="0" borderId="0" xfId="0" applyNumberFormat="1" applyAlignment="1">
      <alignment horizontal="center" vertical="center" wrapText="1"/>
    </xf>
    <xf numFmtId="176" fontId="0" fillId="0" borderId="0" xfId="0" applyNumberFormat="1" applyAlignment="1">
      <alignment horizontal="center" vertical="center" wrapText="1"/>
    </xf>
    <xf numFmtId="176" fontId="2" fillId="0" borderId="0" xfId="0" applyNumberFormat="1" applyFont="1" applyAlignment="1">
      <alignment horizontal="center" vertical="center" wrapText="1"/>
    </xf>
    <xf numFmtId="0" fontId="0" fillId="0" borderId="0" xfId="0" applyAlignment="1">
      <alignment horizontal="left" vertical="top"/>
    </xf>
    <xf numFmtId="0" fontId="9" fillId="2" borderId="57" xfId="0" applyFont="1" applyFill="1" applyBorder="1" applyAlignment="1">
      <alignment wrapText="1"/>
    </xf>
    <xf numFmtId="180" fontId="0" fillId="4" borderId="67" xfId="0" applyNumberFormat="1" applyFill="1" applyBorder="1" applyAlignment="1">
      <alignment horizontal="center" vertical="center" shrinkToFit="1"/>
    </xf>
    <xf numFmtId="180" fontId="0" fillId="3" borderId="71" xfId="0" applyNumberFormat="1" applyFill="1" applyBorder="1" applyAlignment="1">
      <alignment horizontal="center" vertical="center"/>
    </xf>
    <xf numFmtId="0" fontId="16" fillId="0" borderId="0" xfId="0" applyFont="1"/>
    <xf numFmtId="180" fontId="0" fillId="3" borderId="4" xfId="0" applyNumberFormat="1" applyFill="1" applyBorder="1" applyAlignment="1">
      <alignment horizontal="center" vertical="center"/>
    </xf>
    <xf numFmtId="14" fontId="8" fillId="0" borderId="0" xfId="0" applyNumberFormat="1" applyFont="1"/>
    <xf numFmtId="0" fontId="17" fillId="0" borderId="0" xfId="0" applyFont="1"/>
    <xf numFmtId="0" fontId="8" fillId="0" borderId="26"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8" fillId="0" borderId="0" xfId="0" applyFont="1" applyAlignment="1">
      <alignment horizontal="left" vertical="center"/>
    </xf>
    <xf numFmtId="0" fontId="0" fillId="0" borderId="29" xfId="0" applyBorder="1"/>
    <xf numFmtId="0" fontId="0" fillId="0" borderId="73" xfId="0" applyBorder="1"/>
    <xf numFmtId="0" fontId="0" fillId="0" borderId="72" xfId="0" applyBorder="1"/>
    <xf numFmtId="0" fontId="0" fillId="0" borderId="73" xfId="0" applyBorder="1" applyAlignment="1">
      <alignment horizontal="right"/>
    </xf>
    <xf numFmtId="176" fontId="20" fillId="5" borderId="4" xfId="0" applyNumberFormat="1" applyFont="1" applyFill="1" applyBorder="1" applyAlignment="1">
      <alignment vertical="center" wrapText="1"/>
    </xf>
    <xf numFmtId="176" fontId="22" fillId="3" borderId="10" xfId="0" applyNumberFormat="1" applyFont="1" applyFill="1" applyBorder="1" applyAlignment="1">
      <alignment vertical="center" wrapText="1"/>
    </xf>
    <xf numFmtId="0" fontId="9" fillId="2" borderId="49" xfId="0" applyFont="1" applyFill="1" applyBorder="1" applyAlignment="1">
      <alignment vertical="top" wrapText="1"/>
    </xf>
    <xf numFmtId="38" fontId="11" fillId="0" borderId="0" xfId="0" applyNumberFormat="1" applyFont="1"/>
    <xf numFmtId="0" fontId="8" fillId="2" borderId="3" xfId="0" applyFont="1" applyFill="1" applyBorder="1" applyAlignment="1">
      <alignment horizontal="center" vertical="center"/>
    </xf>
    <xf numFmtId="0" fontId="7" fillId="2" borderId="3" xfId="0" applyFont="1" applyFill="1" applyBorder="1" applyAlignment="1">
      <alignment horizontal="center" vertical="center"/>
    </xf>
    <xf numFmtId="176" fontId="22" fillId="5" borderId="4" xfId="0" applyNumberFormat="1" applyFont="1" applyFill="1" applyBorder="1" applyAlignment="1">
      <alignment vertical="center" wrapText="1"/>
    </xf>
    <xf numFmtId="0" fontId="16" fillId="0" borderId="74" xfId="0" applyFont="1" applyBorder="1"/>
    <xf numFmtId="0" fontId="11" fillId="6" borderId="10" xfId="0" applyFont="1" applyFill="1" applyBorder="1"/>
    <xf numFmtId="0" fontId="11" fillId="6" borderId="1" xfId="0" applyFont="1" applyFill="1" applyBorder="1"/>
    <xf numFmtId="38" fontId="11" fillId="0" borderId="1" xfId="1" applyFont="1" applyBorder="1" applyAlignment="1"/>
    <xf numFmtId="0" fontId="11" fillId="6" borderId="5" xfId="0" applyFont="1" applyFill="1" applyBorder="1"/>
    <xf numFmtId="38" fontId="11" fillId="0" borderId="5" xfId="1" applyFont="1" applyBorder="1" applyAlignment="1"/>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176" fontId="2" fillId="2" borderId="53" xfId="0" applyNumberFormat="1" applyFont="1" applyFill="1" applyBorder="1" applyAlignment="1">
      <alignment horizontal="center" vertical="center" wrapText="1"/>
    </xf>
    <xf numFmtId="176" fontId="2" fillId="2" borderId="54" xfId="0"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0" fontId="0" fillId="2" borderId="13" xfId="0" applyFill="1" applyBorder="1" applyAlignment="1">
      <alignment horizontal="center" vertical="center" wrapText="1"/>
    </xf>
    <xf numFmtId="0" fontId="3" fillId="2" borderId="17"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65" xfId="0" applyFont="1" applyFill="1" applyBorder="1" applyAlignment="1">
      <alignment horizontal="center" vertical="center"/>
    </xf>
    <xf numFmtId="0" fontId="4" fillId="2" borderId="66" xfId="0" applyFont="1" applyFill="1" applyBorder="1" applyAlignment="1">
      <alignment horizontal="center" vertical="center"/>
    </xf>
    <xf numFmtId="0" fontId="8" fillId="0" borderId="0" xfId="0" applyFont="1" applyAlignment="1">
      <alignment horizontal="left" vertical="top" wrapText="1"/>
    </xf>
    <xf numFmtId="0" fontId="0" fillId="2" borderId="75" xfId="0" applyFill="1" applyBorder="1" applyAlignment="1">
      <alignment horizontal="center" vertical="center"/>
    </xf>
    <xf numFmtId="0" fontId="0" fillId="2" borderId="51" xfId="0" applyFill="1" applyBorder="1" applyAlignment="1">
      <alignment horizontal="center" vertical="center" wrapText="1"/>
    </xf>
    <xf numFmtId="0" fontId="4" fillId="2" borderId="56" xfId="0" applyFont="1" applyFill="1" applyBorder="1" applyAlignment="1">
      <alignment horizontal="center" vertical="center"/>
    </xf>
    <xf numFmtId="0" fontId="4" fillId="2" borderId="57" xfId="0" applyFont="1" applyFill="1" applyBorder="1" applyAlignment="1">
      <alignment horizontal="center" vertical="center"/>
    </xf>
    <xf numFmtId="0" fontId="4" fillId="2" borderId="19"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14" xfId="0" applyFill="1" applyBorder="1" applyAlignment="1">
      <alignment horizontal="center" vertical="center"/>
    </xf>
    <xf numFmtId="0" fontId="0" fillId="0" borderId="19" xfId="0" applyBorder="1" applyAlignment="1">
      <alignment horizontal="center" vertical="center" wrapText="1"/>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2" borderId="37" xfId="0" applyFill="1" applyBorder="1" applyAlignment="1">
      <alignment horizontal="center" vertical="center" wrapText="1"/>
    </xf>
    <xf numFmtId="0" fontId="0" fillId="2" borderId="38" xfId="0" applyFill="1" applyBorder="1" applyAlignment="1">
      <alignment horizontal="center" vertical="center" wrapText="1"/>
    </xf>
  </cellXfs>
  <cellStyles count="2">
    <cellStyle name="桁区切り" xfId="1" builtinId="6"/>
    <cellStyle name="標準" xfId="0" builtinId="0"/>
  </cellStyles>
  <dxfs count="22">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1"/>
      </font>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FF00FF"/>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8</xdr:col>
      <xdr:colOff>168086</xdr:colOff>
      <xdr:row>8</xdr:row>
      <xdr:rowOff>1</xdr:rowOff>
    </xdr:from>
    <xdr:to>
      <xdr:col>15</xdr:col>
      <xdr:colOff>59949</xdr:colOff>
      <xdr:row>19</xdr:row>
      <xdr:rowOff>95251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374826" y="1714501"/>
          <a:ext cx="4159063" cy="4011930"/>
          <a:chOff x="9368118" y="1288676"/>
          <a:chExt cx="4676775" cy="3130553"/>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68118" y="1288676"/>
            <a:ext cx="4676775" cy="31305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貸与額算定基準額判定ツール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114302</xdr:colOff>
      <xdr:row>9</xdr:row>
      <xdr:rowOff>285750</xdr:rowOff>
    </xdr:from>
    <xdr:to>
      <xdr:col>21</xdr:col>
      <xdr:colOff>1</xdr:colOff>
      <xdr:row>23</xdr:row>
      <xdr:rowOff>322960</xdr:rowOff>
    </xdr:to>
    <xdr:pic>
      <xdr:nvPicPr>
        <xdr:cNvPr id="4" name="図 3">
          <a:extLst>
            <a:ext uri="{FF2B5EF4-FFF2-40B4-BE49-F238E27FC236}">
              <a16:creationId xmlns:a16="http://schemas.microsoft.com/office/drawing/2014/main" id="{99166CB4-FF8B-89A4-35A4-198B36111363}"/>
            </a:ext>
          </a:extLst>
        </xdr:cNvPr>
        <xdr:cNvPicPr>
          <a:picLocks noChangeAspect="1"/>
        </xdr:cNvPicPr>
      </xdr:nvPicPr>
      <xdr:blipFill>
        <a:blip xmlns:r="http://schemas.openxmlformats.org/officeDocument/2006/relationships" r:embed="rId1"/>
        <a:stretch>
          <a:fillRect/>
        </a:stretch>
      </xdr:blipFill>
      <xdr:spPr>
        <a:xfrm>
          <a:off x="9702802" y="2370667"/>
          <a:ext cx="8373532" cy="4602436"/>
        </a:xfrm>
        <a:prstGeom prst="rect">
          <a:avLst/>
        </a:prstGeom>
      </xdr:spPr>
    </xdr:pic>
    <xdr:clientData/>
  </xdr:twoCellAnchor>
  <xdr:oneCellAnchor>
    <xdr:from>
      <xdr:col>3</xdr:col>
      <xdr:colOff>1695450</xdr:colOff>
      <xdr:row>7</xdr:row>
      <xdr:rowOff>38100</xdr:rowOff>
    </xdr:from>
    <xdr:ext cx="266700" cy="276225"/>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133725" y="1504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(1)</a:t>
          </a:r>
          <a:endParaRPr kumimoji="1" lang="ja-JP" altLang="en-US" sz="1200" b="1">
            <a:solidFill>
              <a:srgbClr val="FF0000"/>
            </a:solidFill>
          </a:endParaRPr>
        </a:p>
      </xdr:txBody>
    </xdr:sp>
    <xdr:clientData/>
  </xdr:oneCellAnchor>
  <xdr:twoCellAnchor>
    <xdr:from>
      <xdr:col>6</xdr:col>
      <xdr:colOff>1476374</xdr:colOff>
      <xdr:row>7</xdr:row>
      <xdr:rowOff>19050</xdr:rowOff>
    </xdr:from>
    <xdr:to>
      <xdr:col>7</xdr:col>
      <xdr:colOff>962025</xdr:colOff>
      <xdr:row>7</xdr:row>
      <xdr:rowOff>304800</xdr:rowOff>
    </xdr:to>
    <xdr:sp macro="" textlink="">
      <xdr:nvSpPr>
        <xdr:cNvPr id="3" name="線吹き出し 1 (枠付き) 2">
          <a:extLst>
            <a:ext uri="{FF2B5EF4-FFF2-40B4-BE49-F238E27FC236}">
              <a16:creationId xmlns:a16="http://schemas.microsoft.com/office/drawing/2014/main" id="{00000000-0008-0000-0100-000003000000}"/>
            </a:ext>
          </a:extLst>
        </xdr:cNvPr>
        <xdr:cNvSpPr/>
      </xdr:nvSpPr>
      <xdr:spPr>
        <a:xfrm>
          <a:off x="8181974" y="1485900"/>
          <a:ext cx="1190626" cy="285750"/>
        </a:xfrm>
        <a:prstGeom prst="borderCallout1">
          <a:avLst>
            <a:gd name="adj1" fmla="val 48380"/>
            <a:gd name="adj2" fmla="val 1888"/>
            <a:gd name="adj3" fmla="val 53240"/>
            <a:gd name="adj4" fmla="val -111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予約採用以外の場合に表示（大学院除く）</a:t>
          </a:r>
        </a:p>
      </xdr:txBody>
    </xdr:sp>
    <xdr:clientData/>
  </xdr:twoCellAnchor>
  <xdr:twoCellAnchor>
    <xdr:from>
      <xdr:col>6</xdr:col>
      <xdr:colOff>1476374</xdr:colOff>
      <xdr:row>8</xdr:row>
      <xdr:rowOff>28575</xdr:rowOff>
    </xdr:from>
    <xdr:to>
      <xdr:col>7</xdr:col>
      <xdr:colOff>952500</xdr:colOff>
      <xdr:row>8</xdr:row>
      <xdr:rowOff>314325</xdr:rowOff>
    </xdr:to>
    <xdr:sp macro="" textlink="">
      <xdr:nvSpPr>
        <xdr:cNvPr id="72" name="線吹き出し 1 (枠付き) 71">
          <a:extLst>
            <a:ext uri="{FF2B5EF4-FFF2-40B4-BE49-F238E27FC236}">
              <a16:creationId xmlns:a16="http://schemas.microsoft.com/office/drawing/2014/main" id="{00000000-0008-0000-0100-000048000000}"/>
            </a:ext>
          </a:extLst>
        </xdr:cNvPr>
        <xdr:cNvSpPr/>
      </xdr:nvSpPr>
      <xdr:spPr>
        <a:xfrm>
          <a:off x="8181974" y="1838325"/>
          <a:ext cx="1181101" cy="285750"/>
        </a:xfrm>
        <a:prstGeom prst="borderCallout1">
          <a:avLst>
            <a:gd name="adj1" fmla="val 48380"/>
            <a:gd name="adj2" fmla="val 1062"/>
            <a:gd name="adj3" fmla="val 5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予約採用でも大学院でもない貸与・私立の場合に表示</a:t>
          </a:r>
        </a:p>
      </xdr:txBody>
    </xdr:sp>
    <xdr:clientData/>
  </xdr:twoCellAnchor>
  <xdr:twoCellAnchor>
    <xdr:from>
      <xdr:col>6</xdr:col>
      <xdr:colOff>1485900</xdr:colOff>
      <xdr:row>9</xdr:row>
      <xdr:rowOff>28575</xdr:rowOff>
    </xdr:from>
    <xdr:to>
      <xdr:col>7</xdr:col>
      <xdr:colOff>962025</xdr:colOff>
      <xdr:row>9</xdr:row>
      <xdr:rowOff>314325</xdr:rowOff>
    </xdr:to>
    <xdr:sp macro="" textlink="">
      <xdr:nvSpPr>
        <xdr:cNvPr id="73" name="線吹き出し 1 (枠付き) 72">
          <a:extLst>
            <a:ext uri="{FF2B5EF4-FFF2-40B4-BE49-F238E27FC236}">
              <a16:creationId xmlns:a16="http://schemas.microsoft.com/office/drawing/2014/main" id="{00000000-0008-0000-0100-000049000000}"/>
            </a:ext>
          </a:extLst>
        </xdr:cNvPr>
        <xdr:cNvSpPr/>
      </xdr:nvSpPr>
      <xdr:spPr>
        <a:xfrm>
          <a:off x="8191500" y="2181225"/>
          <a:ext cx="1181100" cy="285750"/>
        </a:xfrm>
        <a:prstGeom prst="borderCallout1">
          <a:avLst>
            <a:gd name="adj1" fmla="val 48380"/>
            <a:gd name="adj2" fmla="val 4288"/>
            <a:gd name="adj3" fmla="val 66573"/>
            <a:gd name="adj4" fmla="val -10224"/>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「第一種と第二種の両方」を希望時に表示</a:t>
          </a:r>
        </a:p>
      </xdr:txBody>
    </xdr:sp>
    <xdr:clientData/>
  </xdr:twoCellAnchor>
  <xdr:twoCellAnchor>
    <xdr:from>
      <xdr:col>6</xdr:col>
      <xdr:colOff>1485900</xdr:colOff>
      <xdr:row>10</xdr:row>
      <xdr:rowOff>38100</xdr:rowOff>
    </xdr:from>
    <xdr:to>
      <xdr:col>7</xdr:col>
      <xdr:colOff>962025</xdr:colOff>
      <xdr:row>10</xdr:row>
      <xdr:rowOff>323850</xdr:rowOff>
    </xdr:to>
    <xdr:sp macro="" textlink="">
      <xdr:nvSpPr>
        <xdr:cNvPr id="74" name="線吹き出し 1 (枠付き) 73">
          <a:extLst>
            <a:ext uri="{FF2B5EF4-FFF2-40B4-BE49-F238E27FC236}">
              <a16:creationId xmlns:a16="http://schemas.microsoft.com/office/drawing/2014/main" id="{00000000-0008-0000-0100-00004A000000}"/>
            </a:ext>
          </a:extLst>
        </xdr:cNvPr>
        <xdr:cNvSpPr/>
      </xdr:nvSpPr>
      <xdr:spPr>
        <a:xfrm>
          <a:off x="8191500" y="2533650"/>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生計維持者が１人の場合に表示（大学院除く）</a:t>
          </a:r>
        </a:p>
      </xdr:txBody>
    </xdr:sp>
    <xdr:clientData/>
  </xdr:twoCellAnchor>
  <xdr:twoCellAnchor>
    <xdr:from>
      <xdr:col>6</xdr:col>
      <xdr:colOff>1485900</xdr:colOff>
      <xdr:row>11</xdr:row>
      <xdr:rowOff>28575</xdr:rowOff>
    </xdr:from>
    <xdr:to>
      <xdr:col>7</xdr:col>
      <xdr:colOff>962025</xdr:colOff>
      <xdr:row>11</xdr:row>
      <xdr:rowOff>314325</xdr:rowOff>
    </xdr:to>
    <xdr:sp macro="" textlink="">
      <xdr:nvSpPr>
        <xdr:cNvPr id="75" name="線吹き出し 1 (枠付き) 74">
          <a:extLst>
            <a:ext uri="{FF2B5EF4-FFF2-40B4-BE49-F238E27FC236}">
              <a16:creationId xmlns:a16="http://schemas.microsoft.com/office/drawing/2014/main" id="{00000000-0008-0000-0100-00004B000000}"/>
            </a:ext>
          </a:extLst>
        </xdr:cNvPr>
        <xdr:cNvSpPr/>
      </xdr:nvSpPr>
      <xdr:spPr>
        <a:xfrm>
          <a:off x="8191500" y="28670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給付奨学金で独立生計以外の場合に表示</a:t>
          </a:r>
        </a:p>
      </xdr:txBody>
    </xdr:sp>
    <xdr:clientData/>
  </xdr:twoCellAnchor>
  <xdr:twoCellAnchor>
    <xdr:from>
      <xdr:col>6</xdr:col>
      <xdr:colOff>1485900</xdr:colOff>
      <xdr:row>12</xdr:row>
      <xdr:rowOff>28575</xdr:rowOff>
    </xdr:from>
    <xdr:to>
      <xdr:col>7</xdr:col>
      <xdr:colOff>962025</xdr:colOff>
      <xdr:row>12</xdr:row>
      <xdr:rowOff>314325</xdr:rowOff>
    </xdr:to>
    <xdr:sp macro="" textlink="">
      <xdr:nvSpPr>
        <xdr:cNvPr id="76" name="線吹き出し 1 (枠付き) 75">
          <a:extLst>
            <a:ext uri="{FF2B5EF4-FFF2-40B4-BE49-F238E27FC236}">
              <a16:creationId xmlns:a16="http://schemas.microsoft.com/office/drawing/2014/main" id="{00000000-0008-0000-0100-00004C000000}"/>
            </a:ext>
          </a:extLst>
        </xdr:cNvPr>
        <xdr:cNvSpPr/>
      </xdr:nvSpPr>
      <xdr:spPr>
        <a:xfrm>
          <a:off x="8191500" y="32099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予約採用以外の給付奨学金・私立の場合に表示</a:t>
          </a:r>
        </a:p>
      </xdr:txBody>
    </xdr:sp>
    <xdr:clientData/>
  </xdr:twoCellAnchor>
  <xdr:oneCellAnchor>
    <xdr:from>
      <xdr:col>3</xdr:col>
      <xdr:colOff>1695450</xdr:colOff>
      <xdr:row>8</xdr:row>
      <xdr:rowOff>38100</xdr:rowOff>
    </xdr:from>
    <xdr:ext cx="266700" cy="276225"/>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3133725" y="18478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3</xdr:col>
      <xdr:colOff>1704975</xdr:colOff>
      <xdr:row>9</xdr:row>
      <xdr:rowOff>38100</xdr:rowOff>
    </xdr:from>
    <xdr:ext cx="266700" cy="276225"/>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31432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(3)</a:t>
          </a:r>
          <a:endParaRPr kumimoji="1" lang="ja-JP" altLang="en-US" sz="1200" b="1">
            <a:solidFill>
              <a:srgbClr val="FF0000"/>
            </a:solidFill>
          </a:endParaRPr>
        </a:p>
      </xdr:txBody>
    </xdr:sp>
    <xdr:clientData/>
  </xdr:oneCellAnchor>
  <xdr:oneCellAnchor>
    <xdr:from>
      <xdr:col>3</xdr:col>
      <xdr:colOff>1695450</xdr:colOff>
      <xdr:row>10</xdr:row>
      <xdr:rowOff>38100</xdr:rowOff>
    </xdr:from>
    <xdr:ext cx="266700" cy="276225"/>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313372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(4)</a:t>
          </a:r>
          <a:endParaRPr kumimoji="1" lang="ja-JP" altLang="en-US" sz="1200" b="1">
            <a:solidFill>
              <a:srgbClr val="FF0000"/>
            </a:solidFill>
          </a:endParaRPr>
        </a:p>
      </xdr:txBody>
    </xdr:sp>
    <xdr:clientData/>
  </xdr:oneCellAnchor>
  <xdr:oneCellAnchor>
    <xdr:from>
      <xdr:col>3</xdr:col>
      <xdr:colOff>1695450</xdr:colOff>
      <xdr:row>11</xdr:row>
      <xdr:rowOff>28575</xdr:rowOff>
    </xdr:from>
    <xdr:ext cx="266700" cy="276225"/>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313372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(5)</a:t>
          </a:r>
          <a:endParaRPr kumimoji="1" lang="ja-JP" altLang="en-US" sz="1200" b="1">
            <a:solidFill>
              <a:srgbClr val="FF0000"/>
            </a:solidFill>
          </a:endParaRPr>
        </a:p>
      </xdr:txBody>
    </xdr:sp>
    <xdr:clientData/>
  </xdr:oneCellAnchor>
  <xdr:oneCellAnchor>
    <xdr:from>
      <xdr:col>5</xdr:col>
      <xdr:colOff>1647825</xdr:colOff>
      <xdr:row>7</xdr:row>
      <xdr:rowOff>28575</xdr:rowOff>
    </xdr:from>
    <xdr:ext cx="266700" cy="276225"/>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6648450" y="1495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(6)</a:t>
          </a:r>
          <a:endParaRPr kumimoji="1" lang="ja-JP" altLang="en-US" sz="1200" b="1">
            <a:solidFill>
              <a:srgbClr val="FF0000"/>
            </a:solidFill>
          </a:endParaRPr>
        </a:p>
      </xdr:txBody>
    </xdr:sp>
    <xdr:clientData/>
  </xdr:oneCellAnchor>
  <xdr:oneCellAnchor>
    <xdr:from>
      <xdr:col>5</xdr:col>
      <xdr:colOff>1657350</xdr:colOff>
      <xdr:row>8</xdr:row>
      <xdr:rowOff>28575</xdr:rowOff>
    </xdr:from>
    <xdr:ext cx="266700" cy="276225"/>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6657975" y="1838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(7)</a:t>
          </a:r>
          <a:endParaRPr kumimoji="1" lang="ja-JP" altLang="en-US" sz="1200" b="1">
            <a:solidFill>
              <a:srgbClr val="FF0000"/>
            </a:solidFill>
          </a:endParaRPr>
        </a:p>
      </xdr:txBody>
    </xdr:sp>
    <xdr:clientData/>
  </xdr:oneCellAnchor>
  <xdr:oneCellAnchor>
    <xdr:from>
      <xdr:col>5</xdr:col>
      <xdr:colOff>1647825</xdr:colOff>
      <xdr:row>9</xdr:row>
      <xdr:rowOff>38100</xdr:rowOff>
    </xdr:from>
    <xdr:ext cx="266700" cy="276225"/>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6648450" y="2190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(8)</a:t>
          </a:r>
          <a:endParaRPr kumimoji="1" lang="ja-JP" altLang="en-US" sz="1200" b="1">
            <a:solidFill>
              <a:srgbClr val="FF0000"/>
            </a:solidFill>
          </a:endParaRPr>
        </a:p>
      </xdr:txBody>
    </xdr:sp>
    <xdr:clientData/>
  </xdr:oneCellAnchor>
  <xdr:oneCellAnchor>
    <xdr:from>
      <xdr:col>5</xdr:col>
      <xdr:colOff>1657350</xdr:colOff>
      <xdr:row>10</xdr:row>
      <xdr:rowOff>38100</xdr:rowOff>
    </xdr:from>
    <xdr:ext cx="266700" cy="276225"/>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6657975" y="2533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(9)</a:t>
          </a:r>
          <a:endParaRPr kumimoji="1" lang="ja-JP" altLang="en-US" sz="1200" b="1">
            <a:solidFill>
              <a:srgbClr val="FF0000"/>
            </a:solidFill>
          </a:endParaRPr>
        </a:p>
      </xdr:txBody>
    </xdr:sp>
    <xdr:clientData/>
  </xdr:oneCellAnchor>
  <xdr:oneCellAnchor>
    <xdr:from>
      <xdr:col>5</xdr:col>
      <xdr:colOff>1657350</xdr:colOff>
      <xdr:row>11</xdr:row>
      <xdr:rowOff>28575</xdr:rowOff>
    </xdr:from>
    <xdr:ext cx="266700" cy="276225"/>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6657975"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clientData/>
  </xdr:oneCellAnchor>
  <xdr:oneCellAnchor>
    <xdr:from>
      <xdr:col>5</xdr:col>
      <xdr:colOff>1666875</xdr:colOff>
      <xdr:row>12</xdr:row>
      <xdr:rowOff>28575</xdr:rowOff>
    </xdr:from>
    <xdr:ext cx="266700" cy="276225"/>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6667500" y="32099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endParaRPr kumimoji="1" lang="ja-JP" altLang="en-US" sz="900" b="1">
            <a:solidFill>
              <a:srgbClr val="FF0000"/>
            </a:solidFill>
          </a:endParaRPr>
        </a:p>
      </xdr:txBody>
    </xdr:sp>
    <xdr:clientData/>
  </xdr:oneCellAnchor>
  <xdr:oneCellAnchor>
    <xdr:from>
      <xdr:col>3</xdr:col>
      <xdr:colOff>1809750</xdr:colOff>
      <xdr:row>17</xdr:row>
      <xdr:rowOff>28575</xdr:rowOff>
    </xdr:from>
    <xdr:ext cx="266700" cy="276225"/>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3248025" y="48482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5</xdr:col>
      <xdr:colOff>790575</xdr:colOff>
      <xdr:row>15</xdr:row>
      <xdr:rowOff>161925</xdr:rowOff>
    </xdr:from>
    <xdr:ext cx="266700" cy="276225"/>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5791200" y="43338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(12)</a:t>
          </a:r>
          <a:endParaRPr kumimoji="1" lang="ja-JP" altLang="en-US" sz="900" b="1">
            <a:solidFill>
              <a:srgbClr val="FF0000"/>
            </a:solidFill>
          </a:endParaRPr>
        </a:p>
      </xdr:txBody>
    </xdr:sp>
    <xdr:clientData/>
  </xdr:oneCellAnchor>
  <xdr:oneCellAnchor>
    <xdr:from>
      <xdr:col>3</xdr:col>
      <xdr:colOff>1809750</xdr:colOff>
      <xdr:row>18</xdr:row>
      <xdr:rowOff>47625</xdr:rowOff>
    </xdr:from>
    <xdr:ext cx="266700" cy="276225"/>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3248025" y="52101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clientData/>
  </xdr:oneCellAnchor>
  <xdr:oneCellAnchor>
    <xdr:from>
      <xdr:col>3</xdr:col>
      <xdr:colOff>1809750</xdr:colOff>
      <xdr:row>19</xdr:row>
      <xdr:rowOff>38100</xdr:rowOff>
    </xdr:from>
    <xdr:ext cx="266700" cy="276225"/>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3248025" y="55435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3</xdr:col>
      <xdr:colOff>1809750</xdr:colOff>
      <xdr:row>20</xdr:row>
      <xdr:rowOff>47625</xdr:rowOff>
    </xdr:from>
    <xdr:ext cx="266700" cy="276225"/>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3248025" y="589597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6</xdr:col>
      <xdr:colOff>9525</xdr:colOff>
      <xdr:row>20</xdr:row>
      <xdr:rowOff>38100</xdr:rowOff>
    </xdr:from>
    <xdr:ext cx="266700" cy="276225"/>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715125" y="58864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clientData/>
  </xdr:oneCellAnchor>
  <xdr:oneCellAnchor>
    <xdr:from>
      <xdr:col>3</xdr:col>
      <xdr:colOff>1809750</xdr:colOff>
      <xdr:row>21</xdr:row>
      <xdr:rowOff>38100</xdr:rowOff>
    </xdr:from>
    <xdr:ext cx="266700" cy="276225"/>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3248025" y="62293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(18)</a:t>
          </a:r>
          <a:endParaRPr kumimoji="1" lang="ja-JP" altLang="en-US" sz="900" b="1">
            <a:solidFill>
              <a:srgbClr val="FF0000"/>
            </a:solidFill>
          </a:endParaRPr>
        </a:p>
      </xdr:txBody>
    </xdr:sp>
    <xdr:clientData/>
  </xdr:oneCellAnchor>
  <xdr:oneCellAnchor>
    <xdr:from>
      <xdr:col>3</xdr:col>
      <xdr:colOff>1809750</xdr:colOff>
      <xdr:row>22</xdr:row>
      <xdr:rowOff>28575</xdr:rowOff>
    </xdr:from>
    <xdr:ext cx="266700" cy="276225"/>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3248025" y="65627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3</xdr:col>
      <xdr:colOff>1819275</xdr:colOff>
      <xdr:row>23</xdr:row>
      <xdr:rowOff>28575</xdr:rowOff>
    </xdr:from>
    <xdr:ext cx="266700" cy="27622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3257550" y="69056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3</xdr:col>
      <xdr:colOff>1828800</xdr:colOff>
      <xdr:row>24</xdr:row>
      <xdr:rowOff>38100</xdr:rowOff>
    </xdr:from>
    <xdr:ext cx="266700" cy="276225"/>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3267075" y="72580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endParaRPr kumimoji="1" lang="ja-JP" altLang="en-US" sz="900" b="1">
            <a:solidFill>
              <a:srgbClr val="FF0000"/>
            </a:solidFill>
          </a:endParaRPr>
        </a:p>
      </xdr:txBody>
    </xdr:sp>
    <xdr:clientData/>
  </xdr:oneCellAnchor>
  <xdr:oneCellAnchor>
    <xdr:from>
      <xdr:col>3</xdr:col>
      <xdr:colOff>1828800</xdr:colOff>
      <xdr:row>25</xdr:row>
      <xdr:rowOff>38100</xdr:rowOff>
    </xdr:from>
    <xdr:ext cx="266700" cy="27622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3267075" y="76009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(22)</a:t>
          </a:r>
          <a:endParaRPr kumimoji="1" lang="ja-JP" altLang="en-US" sz="900" b="1">
            <a:solidFill>
              <a:srgbClr val="FF0000"/>
            </a:solidFill>
          </a:endParaRPr>
        </a:p>
      </xdr:txBody>
    </xdr:sp>
    <xdr:clientData/>
  </xdr:oneCellAnchor>
  <xdr:oneCellAnchor>
    <xdr:from>
      <xdr:col>3</xdr:col>
      <xdr:colOff>1828800</xdr:colOff>
      <xdr:row>26</xdr:row>
      <xdr:rowOff>28575</xdr:rowOff>
    </xdr:from>
    <xdr:ext cx="266700" cy="276225"/>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3267075" y="79343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3</xdr:col>
      <xdr:colOff>1828800</xdr:colOff>
      <xdr:row>27</xdr:row>
      <xdr:rowOff>38100</xdr:rowOff>
    </xdr:from>
    <xdr:ext cx="266700" cy="27622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3267075" y="82867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4</xdr:col>
      <xdr:colOff>5504</xdr:colOff>
      <xdr:row>28</xdr:row>
      <xdr:rowOff>47625</xdr:rowOff>
    </xdr:from>
    <xdr:ext cx="266700" cy="276225"/>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2892637" y="851429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3</xdr:col>
      <xdr:colOff>1664970</xdr:colOff>
      <xdr:row>29</xdr:row>
      <xdr:rowOff>45503</xdr:rowOff>
    </xdr:from>
    <xdr:ext cx="266700" cy="27622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2884170" y="885930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4</xdr:col>
      <xdr:colOff>2752</xdr:colOff>
      <xdr:row>30</xdr:row>
      <xdr:rowOff>64554</xdr:rowOff>
    </xdr:from>
    <xdr:ext cx="266700" cy="276225"/>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2889885" y="922548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4</xdr:col>
      <xdr:colOff>2752</xdr:colOff>
      <xdr:row>31</xdr:row>
      <xdr:rowOff>45503</xdr:rowOff>
    </xdr:from>
    <xdr:ext cx="266700" cy="27622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2889885" y="95535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twoCellAnchor>
    <xdr:from>
      <xdr:col>5</xdr:col>
      <xdr:colOff>1162050</xdr:colOff>
      <xdr:row>15</xdr:row>
      <xdr:rowOff>66675</xdr:rowOff>
    </xdr:from>
    <xdr:to>
      <xdr:col>6</xdr:col>
      <xdr:colOff>638175</xdr:colOff>
      <xdr:row>16</xdr:row>
      <xdr:rowOff>47625</xdr:rowOff>
    </xdr:to>
    <xdr:sp macro="" textlink="">
      <xdr:nvSpPr>
        <xdr:cNvPr id="118" name="線吹き出し 1 (枠付き) 117">
          <a:extLst>
            <a:ext uri="{FF2B5EF4-FFF2-40B4-BE49-F238E27FC236}">
              <a16:creationId xmlns:a16="http://schemas.microsoft.com/office/drawing/2014/main" id="{00000000-0008-0000-0100-000076000000}"/>
            </a:ext>
          </a:extLst>
        </xdr:cNvPr>
        <xdr:cNvSpPr/>
      </xdr:nvSpPr>
      <xdr:spPr>
        <a:xfrm>
          <a:off x="6162675" y="4238625"/>
          <a:ext cx="118110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生計維持者が２人の場合に表示</a:t>
          </a:r>
          <a:r>
            <a:rPr kumimoji="1" lang="ja-JP" altLang="en-US" sz="600">
              <a:solidFill>
                <a:sysClr val="windowText" lastClr="000000"/>
              </a:solidFill>
            </a:rPr>
            <a:t>（大学院は配偶者欄）</a:t>
          </a:r>
          <a:endParaRPr kumimoji="1" lang="ja-JP" altLang="en-US" sz="800">
            <a:solidFill>
              <a:sysClr val="windowText" lastClr="000000"/>
            </a:solidFill>
          </a:endParaRPr>
        </a:p>
      </xdr:txBody>
    </xdr:sp>
    <xdr:clientData/>
  </xdr:twoCellAnchor>
  <xdr:twoCellAnchor>
    <xdr:from>
      <xdr:col>6</xdr:col>
      <xdr:colOff>1457325</xdr:colOff>
      <xdr:row>16</xdr:row>
      <xdr:rowOff>95250</xdr:rowOff>
    </xdr:from>
    <xdr:to>
      <xdr:col>7</xdr:col>
      <xdr:colOff>933450</xdr:colOff>
      <xdr:row>17</xdr:row>
      <xdr:rowOff>38100</xdr:rowOff>
    </xdr:to>
    <xdr:sp macro="" textlink="">
      <xdr:nvSpPr>
        <xdr:cNvPr id="119" name="線吹き出し 1 (枠付き) 118">
          <a:extLst>
            <a:ext uri="{FF2B5EF4-FFF2-40B4-BE49-F238E27FC236}">
              <a16:creationId xmlns:a16="http://schemas.microsoft.com/office/drawing/2014/main" id="{00000000-0008-0000-0100-000077000000}"/>
            </a:ext>
          </a:extLst>
        </xdr:cNvPr>
        <xdr:cNvSpPr/>
      </xdr:nvSpPr>
      <xdr:spPr>
        <a:xfrm>
          <a:off x="8162925" y="4572000"/>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給付奨学金の場合又は独立生計の場合に表示</a:t>
          </a:r>
        </a:p>
      </xdr:txBody>
    </xdr:sp>
    <xdr:clientData/>
  </xdr:twoCellAnchor>
  <xdr:twoCellAnchor>
    <xdr:from>
      <xdr:col>5</xdr:col>
      <xdr:colOff>118532</xdr:colOff>
      <xdr:row>31</xdr:row>
      <xdr:rowOff>59266</xdr:rowOff>
    </xdr:from>
    <xdr:to>
      <xdr:col>5</xdr:col>
      <xdr:colOff>1299632</xdr:colOff>
      <xdr:row>31</xdr:row>
      <xdr:rowOff>345016</xdr:rowOff>
    </xdr:to>
    <xdr:sp macro="" textlink="">
      <xdr:nvSpPr>
        <xdr:cNvPr id="120" name="線吹き出し 1 (枠付き) 119">
          <a:extLst>
            <a:ext uri="{FF2B5EF4-FFF2-40B4-BE49-F238E27FC236}">
              <a16:creationId xmlns:a16="http://schemas.microsoft.com/office/drawing/2014/main" id="{00000000-0008-0000-0100-000078000000}"/>
            </a:ext>
          </a:extLst>
        </xdr:cNvPr>
        <xdr:cNvSpPr/>
      </xdr:nvSpPr>
      <xdr:spPr>
        <a:xfrm>
          <a:off x="4538132" y="9567333"/>
          <a:ext cx="1181100" cy="285750"/>
        </a:xfrm>
        <a:prstGeom prst="borderCallout1">
          <a:avLst>
            <a:gd name="adj1" fmla="val 48380"/>
            <a:gd name="adj2" fmla="val 4288"/>
            <a:gd name="adj3" fmla="val 76573"/>
            <a:gd name="adj4" fmla="val -1103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t>給付奨学金の場合に表示</a:t>
          </a:r>
        </a:p>
      </xdr:txBody>
    </xdr:sp>
    <xdr:clientData/>
  </xdr:twoCellAnchor>
  <xdr:oneCellAnchor>
    <xdr:from>
      <xdr:col>10</xdr:col>
      <xdr:colOff>560917</xdr:colOff>
      <xdr:row>12</xdr:row>
      <xdr:rowOff>25400</xdr:rowOff>
    </xdr:from>
    <xdr:ext cx="266700" cy="276225"/>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9586384" y="31580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(13)</a:t>
          </a:r>
          <a:endParaRPr kumimoji="1" lang="ja-JP" altLang="en-US" sz="900" b="1">
            <a:solidFill>
              <a:srgbClr val="FF0000"/>
            </a:solidFill>
          </a:endParaRPr>
        </a:p>
      </xdr:txBody>
    </xdr:sp>
    <xdr:clientData/>
  </xdr:oneCellAnchor>
  <xdr:oneCellAnchor>
    <xdr:from>
      <xdr:col>13</xdr:col>
      <xdr:colOff>391583</xdr:colOff>
      <xdr:row>16</xdr:row>
      <xdr:rowOff>331258</xdr:rowOff>
    </xdr:from>
    <xdr:ext cx="552450" cy="276225"/>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11245850" y="4632325"/>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r>
            <a:rPr kumimoji="1" lang="ja-JP" altLang="en-US" sz="900" b="1">
              <a:solidFill>
                <a:srgbClr val="FF0000"/>
              </a:solidFill>
            </a:rPr>
            <a:t>・</a:t>
          </a:r>
          <a:r>
            <a:rPr kumimoji="1" lang="en-US" altLang="ja-JP" sz="900" b="1">
              <a:solidFill>
                <a:srgbClr val="FF0000"/>
              </a:solidFill>
            </a:rPr>
            <a:t>(15)</a:t>
          </a:r>
          <a:endParaRPr kumimoji="1" lang="ja-JP" altLang="en-US" sz="900" b="1">
            <a:solidFill>
              <a:srgbClr val="FF0000"/>
            </a:solidFill>
          </a:endParaRPr>
        </a:p>
      </xdr:txBody>
    </xdr:sp>
    <xdr:clientData/>
  </xdr:oneCellAnchor>
  <xdr:oneCellAnchor>
    <xdr:from>
      <xdr:col>19</xdr:col>
      <xdr:colOff>5980</xdr:colOff>
      <xdr:row>11</xdr:row>
      <xdr:rowOff>115358</xdr:rowOff>
    </xdr:from>
    <xdr:ext cx="266700" cy="276225"/>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14517847" y="290089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clientData/>
  </xdr:oneCellAnchor>
  <xdr:oneCellAnchor>
    <xdr:from>
      <xdr:col>11</xdr:col>
      <xdr:colOff>21167</xdr:colOff>
      <xdr:row>19</xdr:row>
      <xdr:rowOff>129116</xdr:rowOff>
    </xdr:from>
    <xdr:ext cx="266700" cy="276225"/>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9656234" y="547158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(19)</a:t>
          </a:r>
          <a:endParaRPr kumimoji="1" lang="ja-JP" altLang="en-US" sz="900" b="1">
            <a:solidFill>
              <a:srgbClr val="FF0000"/>
            </a:solidFill>
          </a:endParaRPr>
        </a:p>
      </xdr:txBody>
    </xdr:sp>
    <xdr:clientData/>
  </xdr:oneCellAnchor>
  <xdr:oneCellAnchor>
    <xdr:from>
      <xdr:col>16</xdr:col>
      <xdr:colOff>0</xdr:colOff>
      <xdr:row>12</xdr:row>
      <xdr:rowOff>276225</xdr:rowOff>
    </xdr:from>
    <xdr:ext cx="266700" cy="276225"/>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14163675" y="34004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(20)</a:t>
          </a:r>
          <a:endParaRPr kumimoji="1" lang="ja-JP" altLang="en-US" sz="900" b="1">
            <a:solidFill>
              <a:srgbClr val="FF0000"/>
            </a:solidFill>
          </a:endParaRPr>
        </a:p>
      </xdr:txBody>
    </xdr:sp>
    <xdr:clientData/>
  </xdr:oneCellAnchor>
  <xdr:oneCellAnchor>
    <xdr:from>
      <xdr:col>13</xdr:col>
      <xdr:colOff>365125</xdr:colOff>
      <xdr:row>14</xdr:row>
      <xdr:rowOff>201084</xdr:rowOff>
    </xdr:from>
    <xdr:ext cx="409575" cy="276225"/>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11219392" y="3892551"/>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(21)</a:t>
          </a:r>
          <a:r>
            <a:rPr kumimoji="1" lang="ja-JP" altLang="en-US" sz="900" b="1">
              <a:solidFill>
                <a:srgbClr val="FF0000"/>
              </a:solidFill>
            </a:rPr>
            <a:t>～</a:t>
          </a:r>
          <a:r>
            <a:rPr kumimoji="1" lang="en-US" altLang="ja-JP" sz="900" b="1">
              <a:solidFill>
                <a:srgbClr val="FF0000"/>
              </a:solidFill>
            </a:rPr>
            <a:t>(23)</a:t>
          </a:r>
          <a:endParaRPr kumimoji="1" lang="ja-JP" altLang="en-US" sz="900" b="1">
            <a:solidFill>
              <a:srgbClr val="FF0000"/>
            </a:solidFill>
          </a:endParaRPr>
        </a:p>
      </xdr:txBody>
    </xdr:sp>
    <xdr:clientData/>
  </xdr:oneCellAnchor>
  <xdr:oneCellAnchor>
    <xdr:from>
      <xdr:col>14</xdr:col>
      <xdr:colOff>381000</xdr:colOff>
      <xdr:row>19</xdr:row>
      <xdr:rowOff>257175</xdr:rowOff>
    </xdr:from>
    <xdr:ext cx="266700" cy="27622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3173075" y="558165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(24)</a:t>
          </a:r>
          <a:endParaRPr kumimoji="1" lang="ja-JP" altLang="en-US" sz="900" b="1">
            <a:solidFill>
              <a:srgbClr val="FF0000"/>
            </a:solidFill>
          </a:endParaRPr>
        </a:p>
      </xdr:txBody>
    </xdr:sp>
    <xdr:clientData/>
  </xdr:oneCellAnchor>
  <xdr:oneCellAnchor>
    <xdr:from>
      <xdr:col>13</xdr:col>
      <xdr:colOff>102658</xdr:colOff>
      <xdr:row>17</xdr:row>
      <xdr:rowOff>316442</xdr:rowOff>
    </xdr:from>
    <xdr:ext cx="266700" cy="27622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10956925" y="49646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(25)</a:t>
          </a:r>
          <a:endParaRPr kumimoji="1" lang="ja-JP" altLang="en-US" sz="900" b="1">
            <a:solidFill>
              <a:srgbClr val="FF0000"/>
            </a:solidFill>
          </a:endParaRPr>
        </a:p>
      </xdr:txBody>
    </xdr:sp>
    <xdr:clientData/>
  </xdr:oneCellAnchor>
  <xdr:oneCellAnchor>
    <xdr:from>
      <xdr:col>15</xdr:col>
      <xdr:colOff>229658</xdr:colOff>
      <xdr:row>20</xdr:row>
      <xdr:rowOff>142874</xdr:rowOff>
    </xdr:from>
    <xdr:ext cx="266700" cy="27622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12303125" y="583247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(26)</a:t>
          </a:r>
          <a:endParaRPr kumimoji="1" lang="ja-JP" altLang="en-US" sz="900" b="1">
            <a:solidFill>
              <a:srgbClr val="FF0000"/>
            </a:solidFill>
          </a:endParaRPr>
        </a:p>
      </xdr:txBody>
    </xdr:sp>
    <xdr:clientData/>
  </xdr:oneCellAnchor>
  <xdr:oneCellAnchor>
    <xdr:from>
      <xdr:col>18</xdr:col>
      <xdr:colOff>600075</xdr:colOff>
      <xdr:row>14</xdr:row>
      <xdr:rowOff>2117</xdr:rowOff>
    </xdr:from>
    <xdr:ext cx="266700" cy="27622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14502342" y="3693584"/>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(27)</a:t>
          </a:r>
          <a:endParaRPr kumimoji="1" lang="ja-JP" altLang="en-US" sz="900" b="1">
            <a:solidFill>
              <a:srgbClr val="FF0000"/>
            </a:solidFill>
          </a:endParaRPr>
        </a:p>
      </xdr:txBody>
    </xdr:sp>
    <xdr:clientData/>
  </xdr:oneCellAnchor>
  <xdr:oneCellAnchor>
    <xdr:from>
      <xdr:col>18</xdr:col>
      <xdr:colOff>608541</xdr:colOff>
      <xdr:row>18</xdr:row>
      <xdr:rowOff>101600</xdr:rowOff>
    </xdr:from>
    <xdr:ext cx="266700" cy="27622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14510808" y="509693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(28)</a:t>
          </a:r>
          <a:endParaRPr kumimoji="1" lang="ja-JP" altLang="en-US" sz="900" b="1">
            <a:solidFill>
              <a:srgbClr val="FF0000"/>
            </a:solidFill>
          </a:endParaRPr>
        </a:p>
      </xdr:txBody>
    </xdr:sp>
    <xdr:clientData/>
  </xdr:oneCellAnchor>
  <xdr:oneCellAnchor>
    <xdr:from>
      <xdr:col>3</xdr:col>
      <xdr:colOff>1695450</xdr:colOff>
      <xdr:row>12</xdr:row>
      <xdr:rowOff>28575</xdr:rowOff>
    </xdr:from>
    <xdr:ext cx="266700" cy="276225"/>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3048000" y="2867025"/>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(31)</a:t>
          </a:r>
          <a:endParaRPr kumimoji="1" lang="ja-JP" altLang="en-US" sz="900" b="1">
            <a:solidFill>
              <a:srgbClr val="FF0000"/>
            </a:solidFill>
          </a:endParaRPr>
        </a:p>
      </xdr:txBody>
    </xdr:sp>
    <xdr:clientData/>
  </xdr:oneCellAnchor>
  <xdr:twoCellAnchor>
    <xdr:from>
      <xdr:col>4</xdr:col>
      <xdr:colOff>1466850</xdr:colOff>
      <xdr:row>16</xdr:row>
      <xdr:rowOff>114300</xdr:rowOff>
    </xdr:from>
    <xdr:to>
      <xdr:col>5</xdr:col>
      <xdr:colOff>809625</xdr:colOff>
      <xdr:row>17</xdr:row>
      <xdr:rowOff>57150</xdr:rowOff>
    </xdr:to>
    <xdr:sp macro="" textlink="">
      <xdr:nvSpPr>
        <xdr:cNvPr id="59" name="線吹き出し 1 (枠付き) 58">
          <a:extLst>
            <a:ext uri="{FF2B5EF4-FFF2-40B4-BE49-F238E27FC236}">
              <a16:creationId xmlns:a16="http://schemas.microsoft.com/office/drawing/2014/main" id="{00000000-0008-0000-0100-00003B000000}"/>
            </a:ext>
          </a:extLst>
        </xdr:cNvPr>
        <xdr:cNvSpPr/>
      </xdr:nvSpPr>
      <xdr:spPr>
        <a:xfrm>
          <a:off x="4676775" y="4591050"/>
          <a:ext cx="1047750" cy="285750"/>
        </a:xfrm>
        <a:prstGeom prst="borderCallout1">
          <a:avLst>
            <a:gd name="adj1" fmla="val 48380"/>
            <a:gd name="adj2" fmla="val 4288"/>
            <a:gd name="adj3" fmla="val 56573"/>
            <a:gd name="adj4" fmla="val -9417"/>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大学院は申込者本人を表示</a:t>
          </a:r>
          <a:endParaRPr kumimoji="1" lang="ja-JP" altLang="en-US" sz="1000">
            <a:solidFill>
              <a:sysClr val="windowText" lastClr="000000"/>
            </a:solidFill>
          </a:endParaRPr>
        </a:p>
      </xdr:txBody>
    </xdr:sp>
    <xdr:clientData/>
  </xdr:twoCellAnchor>
  <xdr:twoCellAnchor>
    <xdr:from>
      <xdr:col>5</xdr:col>
      <xdr:colOff>0</xdr:colOff>
      <xdr:row>13</xdr:row>
      <xdr:rowOff>0</xdr:rowOff>
    </xdr:from>
    <xdr:to>
      <xdr:col>5</xdr:col>
      <xdr:colOff>1181100</xdr:colOff>
      <xdr:row>14</xdr:row>
      <xdr:rowOff>85725</xdr:rowOff>
    </xdr:to>
    <xdr:sp macro="" textlink="">
      <xdr:nvSpPr>
        <xdr:cNvPr id="60" name="線吹き出し 1 (枠付き) 59">
          <a:extLst>
            <a:ext uri="{FF2B5EF4-FFF2-40B4-BE49-F238E27FC236}">
              <a16:creationId xmlns:a16="http://schemas.microsoft.com/office/drawing/2014/main" id="{00000000-0008-0000-0100-00003C000000}"/>
            </a:ext>
          </a:extLst>
        </xdr:cNvPr>
        <xdr:cNvSpPr/>
      </xdr:nvSpPr>
      <xdr:spPr>
        <a:xfrm>
          <a:off x="4914900" y="3467100"/>
          <a:ext cx="1181100" cy="304800"/>
        </a:xfrm>
        <a:prstGeom prst="borderCallout1">
          <a:avLst>
            <a:gd name="adj1" fmla="val 48380"/>
            <a:gd name="adj2" fmla="val 4288"/>
            <a:gd name="adj3" fmla="val -6760"/>
            <a:gd name="adj4" fmla="val -24740"/>
          </a:avLst>
        </a:prstGeom>
        <a:ln w="9525"/>
      </xdr:spPr>
      <xdr:style>
        <a:lnRef idx="2">
          <a:schemeClr val="dk1"/>
        </a:lnRef>
        <a:fillRef idx="1">
          <a:schemeClr val="lt1"/>
        </a:fillRef>
        <a:effectRef idx="0">
          <a:schemeClr val="dk1"/>
        </a:effectRef>
        <a:fontRef idx="minor">
          <a:schemeClr val="dk1"/>
        </a:fontRef>
      </xdr:style>
      <xdr:txBody>
        <a:bodyPr vertOverflow="overflow" horzOverflow="overflow" lIns="0" tIns="0" rIns="0" bIns="0" rtlCol="0" anchor="t"/>
        <a:lstStyle/>
        <a:p>
          <a:pPr algn="l"/>
          <a:r>
            <a:rPr kumimoji="1" lang="ja-JP" altLang="en-US" sz="800">
              <a:solidFill>
                <a:sysClr val="windowText" lastClr="000000"/>
              </a:solidFill>
            </a:rPr>
            <a:t>大学院の申し込みを選択した場合に表示</a:t>
          </a:r>
        </a:p>
      </xdr:txBody>
    </xdr:sp>
    <xdr:clientData/>
  </xdr:twoCellAnchor>
  <xdr:oneCellAnchor>
    <xdr:from>
      <xdr:col>4</xdr:col>
      <xdr:colOff>8466</xdr:colOff>
      <xdr:row>32</xdr:row>
      <xdr:rowOff>25399</xdr:rowOff>
    </xdr:from>
    <xdr:ext cx="266700" cy="276225"/>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2895599" y="988059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17</xdr:col>
      <xdr:colOff>211666</xdr:colOff>
      <xdr:row>22</xdr:row>
      <xdr:rowOff>126999</xdr:rowOff>
    </xdr:from>
    <xdr:ext cx="266700" cy="276225"/>
    <xdr:sp macro="" textlink="">
      <xdr:nvSpPr>
        <xdr:cNvPr id="5" name="テキスト ボックス 4">
          <a:extLst>
            <a:ext uri="{FF2B5EF4-FFF2-40B4-BE49-F238E27FC236}">
              <a16:creationId xmlns:a16="http://schemas.microsoft.com/office/drawing/2014/main" id="{44904CEB-BC59-4321-9EBF-1C7F5C65650E}"/>
            </a:ext>
          </a:extLst>
        </xdr:cNvPr>
        <xdr:cNvSpPr txBox="1"/>
      </xdr:nvSpPr>
      <xdr:spPr>
        <a:xfrm>
          <a:off x="13504333" y="6510866"/>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(29)</a:t>
          </a:r>
          <a:endParaRPr kumimoji="1" lang="ja-JP" altLang="en-US" sz="900" b="1">
            <a:solidFill>
              <a:srgbClr val="FF0000"/>
            </a:solidFill>
          </a:endParaRPr>
        </a:p>
      </xdr:txBody>
    </xdr:sp>
    <xdr:clientData/>
  </xdr:oneCellAnchor>
  <xdr:oneCellAnchor>
    <xdr:from>
      <xdr:col>4</xdr:col>
      <xdr:colOff>1236133</xdr:colOff>
      <xdr:row>40</xdr:row>
      <xdr:rowOff>42334</xdr:rowOff>
    </xdr:from>
    <xdr:ext cx="266700" cy="276225"/>
    <xdr:sp macro="" textlink="">
      <xdr:nvSpPr>
        <xdr:cNvPr id="6" name="テキスト ボックス 5">
          <a:extLst>
            <a:ext uri="{FF2B5EF4-FFF2-40B4-BE49-F238E27FC236}">
              <a16:creationId xmlns:a16="http://schemas.microsoft.com/office/drawing/2014/main" id="{5E9857AA-6E29-4E2A-970E-8ADAA917E603}"/>
            </a:ext>
          </a:extLst>
        </xdr:cNvPr>
        <xdr:cNvSpPr txBox="1"/>
      </xdr:nvSpPr>
      <xdr:spPr>
        <a:xfrm>
          <a:off x="4123266" y="1232746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(30)</a:t>
          </a:r>
          <a:endParaRPr kumimoji="1" lang="ja-JP" altLang="en-US" sz="9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3"/>
  <sheetViews>
    <sheetView tabSelected="1" view="pageBreakPreview" zoomScaleNormal="100" zoomScaleSheetLayoutView="100" workbookViewId="0"/>
  </sheetViews>
  <sheetFormatPr defaultRowHeight="13.2" x14ac:dyDescent="0.2"/>
  <cols>
    <col min="1" max="1" width="6.44140625" customWidth="1"/>
    <col min="2" max="2" width="7.109375" customWidth="1"/>
    <col min="4" max="4" width="24.21875" customWidth="1"/>
    <col min="5" max="5" width="22.33203125" customWidth="1"/>
    <col min="6" max="6" width="24.44140625" customWidth="1"/>
    <col min="7" max="7" width="22.33203125" customWidth="1"/>
    <col min="8" max="8" width="3.88671875" customWidth="1"/>
  </cols>
  <sheetData>
    <row r="1" spans="2:8" ht="23.25" customHeight="1" x14ac:dyDescent="0.2">
      <c r="B1" s="32" t="s">
        <v>112</v>
      </c>
      <c r="G1" s="13">
        <v>2026.03</v>
      </c>
    </row>
    <row r="2" spans="2:8" x14ac:dyDescent="0.2">
      <c r="G2" s="13"/>
    </row>
    <row r="3" spans="2:8" x14ac:dyDescent="0.2">
      <c r="B3" t="s">
        <v>137</v>
      </c>
      <c r="G3" s="13"/>
    </row>
    <row r="4" spans="2:8" x14ac:dyDescent="0.2">
      <c r="B4" t="s">
        <v>138</v>
      </c>
      <c r="G4" s="13"/>
    </row>
    <row r="5" spans="2:8" ht="8.25" customHeight="1" x14ac:dyDescent="0.2">
      <c r="G5" s="13"/>
    </row>
    <row r="6" spans="2:8" x14ac:dyDescent="0.2">
      <c r="B6" s="33" t="s">
        <v>66</v>
      </c>
      <c r="G6" s="13"/>
    </row>
    <row r="7" spans="2:8" ht="24.75" customHeight="1" thickBot="1" x14ac:dyDescent="0.25">
      <c r="B7" s="19" t="s">
        <v>133</v>
      </c>
      <c r="F7" s="62"/>
      <c r="G7" s="63"/>
    </row>
    <row r="8" spans="2:8" ht="27" customHeight="1" x14ac:dyDescent="0.2">
      <c r="B8" s="145" t="s">
        <v>119</v>
      </c>
      <c r="C8" s="146"/>
      <c r="D8" s="147"/>
      <c r="E8" s="42">
        <v>2026</v>
      </c>
      <c r="F8" s="65" t="str">
        <f>IF(計算シート!B3&gt;1,"在籍校の設置者を選択してください。","")</f>
        <v>在籍校の設置者を選択してください。</v>
      </c>
      <c r="G8" s="74" t="s">
        <v>141</v>
      </c>
    </row>
    <row r="9" spans="2:8" ht="27" customHeight="1" x14ac:dyDescent="0.2">
      <c r="B9" s="148" t="s">
        <v>68</v>
      </c>
      <c r="C9" s="149"/>
      <c r="D9" s="150"/>
      <c r="E9" s="60" t="s">
        <v>39</v>
      </c>
      <c r="F9" s="66" t="str">
        <f>IF(AND(計算シート!B4&lt;4,計算シート!B3&gt;1,VLOOKUP(G8,リストボックス!AB2:AC3,2,0)=2),"通学形態を選択してください。","")</f>
        <v/>
      </c>
      <c r="G9" s="68" t="s">
        <v>144</v>
      </c>
    </row>
    <row r="10" spans="2:8" ht="27" customHeight="1" x14ac:dyDescent="0.2">
      <c r="B10" s="148" t="str">
        <f>"申請した奨学金の種別"&amp;IF(計算シート!$B$51=1,"※","")</f>
        <v>申請した奨学金の種別</v>
      </c>
      <c r="C10" s="149"/>
      <c r="D10" s="150"/>
      <c r="E10" s="50" t="s">
        <v>199</v>
      </c>
      <c r="F10" s="67" t="str">
        <f>IF(計算シート!B4=3,"両方を希望した場合の優先順位を選択してください。","")</f>
        <v/>
      </c>
      <c r="G10" s="69" t="s">
        <v>98</v>
      </c>
      <c r="H10" s="10"/>
    </row>
    <row r="11" spans="2:8" ht="27" customHeight="1" x14ac:dyDescent="0.2">
      <c r="B11" s="148" t="s">
        <v>136</v>
      </c>
      <c r="C11" s="149"/>
      <c r="D11" s="150"/>
      <c r="E11" s="73">
        <v>2</v>
      </c>
      <c r="F11" s="67" t="str">
        <f>IF(計算シート!B2=2,"生計維持者１の続柄を選択してください。","")</f>
        <v/>
      </c>
      <c r="G11" s="70" t="s">
        <v>108</v>
      </c>
    </row>
    <row r="12" spans="2:8" ht="27" customHeight="1" x14ac:dyDescent="0.2">
      <c r="B12" s="153" t="s">
        <v>128</v>
      </c>
      <c r="C12" s="154"/>
      <c r="D12" s="155"/>
      <c r="E12" s="98"/>
      <c r="F12" s="113" t="str">
        <f>IF(AND(計算シート!B4=4,計算シート!B2&lt;3),"申込者/奨学生は生計維持者に扶養されていますか。","")</f>
        <v>申込者/奨学生は生計維持者に扶養されていますか。</v>
      </c>
      <c r="G12" s="71" t="s">
        <v>132</v>
      </c>
    </row>
    <row r="13" spans="2:8" ht="27" customHeight="1" thickBot="1" x14ac:dyDescent="0.25">
      <c r="B13" s="156" t="str">
        <f>IF(計算シート!$B$51=1,"大学院の課程","")</f>
        <v/>
      </c>
      <c r="C13" s="157"/>
      <c r="D13" s="157"/>
      <c r="E13" s="97" t="s">
        <v>167</v>
      </c>
      <c r="F13" s="96" t="str">
        <f>IF(AND(計算シート!B4=4,計算シート!B3&gt;1,VLOOKUP(G8,リストボックス!AB2:AC3,2,0)=2),"在籍している学科等は理工農系の分野ですか。","")</f>
        <v>在籍している学科等は理工農系の分野ですか。</v>
      </c>
      <c r="G13" s="72" t="s">
        <v>122</v>
      </c>
    </row>
    <row r="14" spans="2:8" ht="16.5" customHeight="1" x14ac:dyDescent="0.2">
      <c r="B14" s="34" t="s">
        <v>175</v>
      </c>
      <c r="C14" s="14"/>
      <c r="D14" s="95"/>
      <c r="E14" s="14"/>
    </row>
    <row r="15" spans="2:8" ht="24" customHeight="1" x14ac:dyDescent="0.2">
      <c r="B15" s="19" t="s">
        <v>70</v>
      </c>
      <c r="C15" s="14"/>
      <c r="D15" s="14"/>
      <c r="E15" s="14"/>
    </row>
    <row r="16" spans="2:8" ht="24" customHeight="1" thickBot="1" x14ac:dyDescent="0.25">
      <c r="B16" s="19"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課税証明書(所得証明書)は、2025年度[2024年分]のものを用意してください。</v>
      </c>
      <c r="C16" s="14"/>
      <c r="D16" s="14"/>
      <c r="E16" s="14"/>
    </row>
    <row r="17" spans="2:7" ht="55.5" customHeight="1" thickBot="1" x14ac:dyDescent="0.25">
      <c r="B17" s="15" t="s">
        <v>34</v>
      </c>
      <c r="C17" s="151" t="s">
        <v>31</v>
      </c>
      <c r="D17" s="152"/>
      <c r="E17" s="16" t="str">
        <f>IF(計算シート!$B$51=0,"生計維持者１","申込者本人")</f>
        <v>生計維持者１</v>
      </c>
      <c r="F17" s="17" t="str">
        <f>IF(計算シート!$B$51=0,"生計維持者２","配偶者
※いない場合入力不要")</f>
        <v>生計維持者２</v>
      </c>
      <c r="G17" s="18" t="s">
        <v>11</v>
      </c>
    </row>
    <row r="18" spans="2:7" ht="27" customHeight="1" thickTop="1" x14ac:dyDescent="0.2">
      <c r="B18" s="12">
        <v>1</v>
      </c>
      <c r="C18" s="129" t="s">
        <v>55</v>
      </c>
      <c r="D18" s="130"/>
      <c r="E18" s="26"/>
      <c r="F18" s="26"/>
      <c r="G18" s="28"/>
    </row>
    <row r="19" spans="2:7" ht="27" customHeight="1" x14ac:dyDescent="0.2">
      <c r="B19" s="1">
        <v>2</v>
      </c>
      <c r="C19" s="135" t="s">
        <v>4</v>
      </c>
      <c r="D19" s="8" t="s">
        <v>17</v>
      </c>
      <c r="E19" s="20" t="s">
        <v>45</v>
      </c>
      <c r="F19" s="21" t="s">
        <v>45</v>
      </c>
      <c r="G19" s="22" t="s">
        <v>45</v>
      </c>
    </row>
    <row r="20" spans="2:7" ht="27" customHeight="1" x14ac:dyDescent="0.2">
      <c r="B20" s="1">
        <v>3</v>
      </c>
      <c r="C20" s="135"/>
      <c r="D20" s="38" t="str">
        <f>"控除対象寡婦"&amp;IF(計算シート!B27=1,"・ひとり親","（寡夫）")</f>
        <v>控除対象寡婦（寡夫）</v>
      </c>
      <c r="E20" s="20" t="s">
        <v>45</v>
      </c>
      <c r="F20" s="21" t="s">
        <v>45</v>
      </c>
      <c r="G20" s="22" t="s">
        <v>45</v>
      </c>
    </row>
    <row r="21" spans="2:7" ht="27" customHeight="1" x14ac:dyDescent="0.2">
      <c r="B21" s="1">
        <v>4</v>
      </c>
      <c r="C21" s="133" t="s">
        <v>5</v>
      </c>
      <c r="D21" s="134"/>
      <c r="E21" s="29"/>
      <c r="F21" s="30"/>
      <c r="G21" s="31"/>
    </row>
    <row r="22" spans="2:7" ht="27" customHeight="1" x14ac:dyDescent="0.2">
      <c r="B22" s="1">
        <v>5</v>
      </c>
      <c r="C22" s="135" t="str">
        <f>IF(E8="","----年-月-日",TEXT(計算シート!B8,"yyyy年m月d日"))&amp;"時点の生活保護法の
生活扶助の受給"</f>
        <v>2025年1月1日時点の生活保護法の
生活扶助の受給</v>
      </c>
      <c r="D22" s="144"/>
      <c r="E22" s="20" t="s">
        <v>41</v>
      </c>
      <c r="F22" s="21" t="s">
        <v>41</v>
      </c>
      <c r="G22" s="22" t="s">
        <v>41</v>
      </c>
    </row>
    <row r="23" spans="2:7" ht="27" customHeight="1" x14ac:dyDescent="0.2">
      <c r="B23" s="1">
        <v>6</v>
      </c>
      <c r="C23" s="129" t="s">
        <v>56</v>
      </c>
      <c r="D23" s="130"/>
      <c r="E23" s="26"/>
      <c r="F23" s="27"/>
      <c r="G23" s="28"/>
    </row>
    <row r="24" spans="2:7" ht="27" customHeight="1" x14ac:dyDescent="0.2">
      <c r="B24" s="1">
        <v>7</v>
      </c>
      <c r="C24" s="129" t="s">
        <v>2</v>
      </c>
      <c r="D24" s="130"/>
      <c r="E24" s="20" t="s">
        <v>46</v>
      </c>
      <c r="F24" s="21" t="s">
        <v>45</v>
      </c>
      <c r="G24" s="22" t="s">
        <v>45</v>
      </c>
    </row>
    <row r="25" spans="2:7" ht="27" customHeight="1" x14ac:dyDescent="0.2">
      <c r="B25" s="1">
        <v>8</v>
      </c>
      <c r="C25" s="135" t="s">
        <v>3</v>
      </c>
      <c r="D25" s="8" t="s">
        <v>57</v>
      </c>
      <c r="E25" s="23"/>
      <c r="F25" s="24"/>
      <c r="G25" s="25"/>
    </row>
    <row r="26" spans="2:7" ht="27" customHeight="1" x14ac:dyDescent="0.2">
      <c r="B26" s="1">
        <v>9</v>
      </c>
      <c r="C26" s="135"/>
      <c r="D26" s="8" t="s">
        <v>58</v>
      </c>
      <c r="E26" s="23"/>
      <c r="F26" s="24"/>
      <c r="G26" s="25"/>
    </row>
    <row r="27" spans="2:7" ht="27" customHeight="1" x14ac:dyDescent="0.2">
      <c r="B27" s="1">
        <v>10</v>
      </c>
      <c r="C27" s="135"/>
      <c r="D27" s="8" t="s">
        <v>59</v>
      </c>
      <c r="E27" s="23"/>
      <c r="F27" s="24"/>
      <c r="G27" s="25"/>
    </row>
    <row r="28" spans="2:7" ht="27" customHeight="1" x14ac:dyDescent="0.2">
      <c r="B28" s="1">
        <v>11</v>
      </c>
      <c r="C28" s="129" t="s">
        <v>60</v>
      </c>
      <c r="D28" s="130"/>
      <c r="E28" s="23"/>
      <c r="F28" s="24"/>
      <c r="G28" s="25"/>
    </row>
    <row r="29" spans="2:7" ht="27" customHeight="1" x14ac:dyDescent="0.2">
      <c r="B29" s="116">
        <v>12</v>
      </c>
      <c r="C29" s="124" t="s">
        <v>174</v>
      </c>
      <c r="D29" s="125"/>
      <c r="E29" s="112">
        <v>0</v>
      </c>
      <c r="F29" s="112"/>
      <c r="G29" s="117"/>
    </row>
    <row r="30" spans="2:7" ht="27" customHeight="1" x14ac:dyDescent="0.2">
      <c r="B30" s="1">
        <v>13</v>
      </c>
      <c r="C30" s="129" t="s">
        <v>61</v>
      </c>
      <c r="D30" s="130"/>
      <c r="E30" s="26"/>
      <c r="F30" s="26"/>
      <c r="G30" s="28"/>
    </row>
    <row r="31" spans="2:7" ht="27" customHeight="1" x14ac:dyDescent="0.2">
      <c r="B31" s="1">
        <v>14</v>
      </c>
      <c r="C31" s="129" t="s">
        <v>62</v>
      </c>
      <c r="D31" s="130"/>
      <c r="E31" s="26"/>
      <c r="F31" s="26"/>
      <c r="G31" s="28"/>
    </row>
    <row r="32" spans="2:7" ht="27" customHeight="1" x14ac:dyDescent="0.2">
      <c r="B32" s="1">
        <v>15</v>
      </c>
      <c r="C32" s="129" t="s">
        <v>113</v>
      </c>
      <c r="D32" s="130"/>
      <c r="E32" s="26"/>
      <c r="F32" s="26"/>
      <c r="G32" s="28"/>
    </row>
    <row r="33" spans="1:8" ht="27" customHeight="1" x14ac:dyDescent="0.2">
      <c r="B33" s="1">
        <v>16</v>
      </c>
      <c r="C33" s="129" t="s">
        <v>7</v>
      </c>
      <c r="D33" s="130"/>
      <c r="E33" s="20" t="s">
        <v>44</v>
      </c>
      <c r="F33" s="21" t="s">
        <v>43</v>
      </c>
      <c r="G33" s="22" t="s">
        <v>43</v>
      </c>
    </row>
    <row r="34" spans="1:8" ht="27" hidden="1" customHeight="1" thickBot="1" x14ac:dyDescent="0.25">
      <c r="B34" s="45"/>
      <c r="C34" s="137" t="s">
        <v>86</v>
      </c>
      <c r="D34" s="138"/>
      <c r="E34" s="46"/>
      <c r="F34" s="47"/>
      <c r="G34" s="48"/>
    </row>
    <row r="35" spans="1:8" ht="27" customHeight="1" x14ac:dyDescent="0.2">
      <c r="B35" s="44"/>
      <c r="C35" s="136" t="s">
        <v>35</v>
      </c>
      <c r="D35" s="134"/>
      <c r="E35" s="6">
        <f>計算シート!B20</f>
        <v>0</v>
      </c>
      <c r="F35" s="4">
        <f>計算シート!C20</f>
        <v>0</v>
      </c>
      <c r="G35" s="5">
        <f>計算シート!D20</f>
        <v>0</v>
      </c>
    </row>
    <row r="36" spans="1:8" ht="27" customHeight="1" x14ac:dyDescent="0.2">
      <c r="B36" s="1"/>
      <c r="C36" s="133" t="s">
        <v>63</v>
      </c>
      <c r="D36" s="134"/>
      <c r="E36" s="6">
        <f>計算シート!B13</f>
        <v>0</v>
      </c>
      <c r="F36" s="4">
        <f>計算シート!C13</f>
        <v>0</v>
      </c>
      <c r="G36" s="5">
        <f>計算シート!D13</f>
        <v>0</v>
      </c>
    </row>
    <row r="37" spans="1:8" ht="27" customHeight="1" x14ac:dyDescent="0.2">
      <c r="B37" s="1"/>
      <c r="C37" s="129" t="s">
        <v>64</v>
      </c>
      <c r="D37" s="130"/>
      <c r="E37" s="9">
        <f>計算シート!B15</f>
        <v>1</v>
      </c>
      <c r="F37" s="9">
        <f>計算シート!C15</f>
        <v>0</v>
      </c>
      <c r="G37" s="11">
        <f>計算シート!D15</f>
        <v>0</v>
      </c>
      <c r="H37" s="10"/>
    </row>
    <row r="38" spans="1:8" ht="27" customHeight="1" x14ac:dyDescent="0.2">
      <c r="B38" s="1"/>
      <c r="C38" s="135" t="s">
        <v>65</v>
      </c>
      <c r="D38" s="130"/>
      <c r="E38" s="7">
        <f>計算シート!B16</f>
        <v>1120000</v>
      </c>
      <c r="F38" s="2">
        <f>計算シート!C16</f>
        <v>450000</v>
      </c>
      <c r="G38" s="3">
        <f>計算シート!D16</f>
        <v>450000</v>
      </c>
    </row>
    <row r="39" spans="1:8" ht="27" customHeight="1" x14ac:dyDescent="0.2">
      <c r="B39" s="1"/>
      <c r="C39" s="129" t="str">
        <f>IF(計算シート!B4&lt;4,"貸与額算定基準額（円）","支給額算定基準額（円）")</f>
        <v>支給額算定基準額（円）</v>
      </c>
      <c r="D39" s="130"/>
      <c r="E39" s="51">
        <f>IF(計算シート!B4&lt;4,計算シート!B34,計算シート!B35)</f>
        <v>0</v>
      </c>
      <c r="F39" s="2">
        <f>IF(計算シート!B4&lt;4,計算シート!C34,計算シート!C35)</f>
        <v>0</v>
      </c>
      <c r="G39" s="3">
        <f>IF(計算シート!B4&lt;4,計算シート!D26,計算シート!D25)</f>
        <v>0</v>
      </c>
    </row>
    <row r="40" spans="1:8" ht="27" customHeight="1" thickBot="1" x14ac:dyDescent="0.25">
      <c r="B40" s="43"/>
      <c r="C40" s="139" t="str">
        <f>IF(計算シート!B4&lt;4,"世帯の貸与額算定基準額（円）","世帯の支給額算定基準額（円）")</f>
        <v>世帯の支給額算定基準額（円）</v>
      </c>
      <c r="D40" s="140"/>
      <c r="E40" s="141">
        <f>IF(計算シート!B4&lt;4,計算シート!B44,SUM(計算シート!B35:C35,計算シート!D25))</f>
        <v>0</v>
      </c>
      <c r="F40" s="142"/>
      <c r="G40" s="143"/>
    </row>
    <row r="41" spans="1:8" ht="27" customHeight="1" thickTop="1" thickBot="1" x14ac:dyDescent="0.25">
      <c r="A41" s="49"/>
      <c r="B41" s="103"/>
      <c r="C41" s="131" t="str">
        <f>IF(計算シート!B4&lt;4,"家計基準が適格となる種別","支援区分")</f>
        <v>支援区分</v>
      </c>
      <c r="D41" s="132"/>
      <c r="E41" s="126" t="str">
        <f>IF(計算シート!B4&lt;4,計算シート!B48,計算シート!B49&amp;計算シート!B50&amp;計算シート!B57)</f>
        <v>第Ⅰ区分</v>
      </c>
      <c r="F41" s="127"/>
      <c r="G41" s="128"/>
      <c r="H41" s="104"/>
    </row>
    <row r="42" spans="1:8" x14ac:dyDescent="0.2">
      <c r="A42" s="49"/>
      <c r="B42" s="49"/>
      <c r="C42" s="49"/>
      <c r="D42" s="105"/>
      <c r="E42" s="106" t="str">
        <f>IFERROR(IF(計算シート!B51=1,IF(計算シート!B4=1,IF(計算シート!B52=1,"",""&amp;IF(計算シート!B53=1,"△： この貸与額算定基準額は第一種奨学金の基準に適格となる場合があります。","")),IF(計算シート!B4=2,IF(計算シート!B54=1,"",""),IF(計算シート!B4=3,IF(計算シート!B55=1,"",IF(計算シート!B5=1,IF(計算シート!B52=1,"",IF(計算シート!B54=1,""&amp;IF(計算シート!B53=1,"△： この貸与額算定基準額は第一種奨学金の基準に適格となる場合があります。",""),"")),IF(計算シート!B54=1,"",""))),""))),""),"")</f>
        <v/>
      </c>
      <c r="F42" s="49"/>
      <c r="G42" s="49"/>
      <c r="H42" s="49"/>
    </row>
    <row r="43" spans="1:8" x14ac:dyDescent="0.2">
      <c r="A43" s="102"/>
      <c r="B43" s="49"/>
      <c r="C43" s="49"/>
      <c r="D43" s="49"/>
      <c r="E43" s="49"/>
      <c r="F43" s="49"/>
      <c r="G43" s="49"/>
      <c r="H43" s="49"/>
    </row>
  </sheetData>
  <sheetProtection algorithmName="SHA-512" hashValue="8SUqRLgoob4q73Ngeia7U6OtSpGJsPJ+JWwg0RHE4NEhM1qV6IKqAHW9JE5uo2EI+IEq58TzWj3G+5Y75aX0eA==" saltValue="Nulre0mGvLvKLvkVhQakKg==" spinCount="100000" sheet="1" objects="1" scenarios="1"/>
  <protectedRanges>
    <protectedRange sqref="G8:G13" name="範囲3"/>
    <protectedRange sqref="E8:E12" name="範囲1"/>
    <protectedRange sqref="E18:G34" name="範囲2"/>
  </protectedRanges>
  <mergeCells count="30">
    <mergeCell ref="B8:D8"/>
    <mergeCell ref="B9:D9"/>
    <mergeCell ref="B11:D11"/>
    <mergeCell ref="C21:D21"/>
    <mergeCell ref="C18:D18"/>
    <mergeCell ref="C19:C20"/>
    <mergeCell ref="C17:D17"/>
    <mergeCell ref="B10:D10"/>
    <mergeCell ref="B12:D12"/>
    <mergeCell ref="B13:D13"/>
    <mergeCell ref="C24:D24"/>
    <mergeCell ref="C25:C27"/>
    <mergeCell ref="C28:D28"/>
    <mergeCell ref="C22:D22"/>
    <mergeCell ref="C23:D23"/>
    <mergeCell ref="C29:D29"/>
    <mergeCell ref="E41:G41"/>
    <mergeCell ref="C37:D37"/>
    <mergeCell ref="C30:D30"/>
    <mergeCell ref="C31:D31"/>
    <mergeCell ref="C39:D39"/>
    <mergeCell ref="C41:D41"/>
    <mergeCell ref="C36:D36"/>
    <mergeCell ref="C38:D38"/>
    <mergeCell ref="C33:D33"/>
    <mergeCell ref="C35:D35"/>
    <mergeCell ref="C34:D34"/>
    <mergeCell ref="C40:D40"/>
    <mergeCell ref="E40:G40"/>
    <mergeCell ref="C32:D32"/>
  </mergeCells>
  <phoneticPr fontId="1"/>
  <conditionalFormatting sqref="F10">
    <cfRule type="expression" dxfId="14" priority="10">
      <formula>"計算シート!B4=3"</formula>
    </cfRule>
  </conditionalFormatting>
  <conditionalFormatting sqref="F11">
    <cfRule type="expression" dxfId="13" priority="9">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3AA87493-00BB-492A-8666-5CA2852DC766}">
            <xm:f>計算シート!$B$51=1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3" id="{DE64FCF5-7D6D-4317-A04F-E83B1863F9FB}">
            <xm:f>計算シート!$B$51=0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 id="{E4D02982-8A82-4AC3-9E67-4261F608520A}">
            <xm:f>計算シート!$B$51=1</xm:f>
            <x14:dxf>
              <font>
                <color theme="1"/>
              </font>
              <fill>
                <patternFill>
                  <bgColor theme="1"/>
                </patternFill>
              </fill>
            </x14:dxf>
          </x14:cfRule>
          <x14:cfRule type="expression" priority="2" id="{E423FD33-D911-4AEA-B985-1AE4EB50E964}">
            <xm:f>計算シート!$B$27=0</xm:f>
            <x14:dxf>
              <font>
                <color theme="1"/>
              </font>
              <fill>
                <patternFill>
                  <bgColor theme="1"/>
                </patternFill>
              </fill>
            </x14:dxf>
          </x14:cfRule>
          <xm:sqref>B29:G29</xm:sqref>
        </x14:conditionalFormatting>
        <x14:conditionalFormatting xmlns:xm="http://schemas.microsoft.com/office/excel/2006/main">
          <x14:cfRule type="expression" priority="18" id="{9D5B0AB0-619C-4DA9-B4AB-C5362A48A103}">
            <xm:f>計算シート!$B$4&lt;4</xm:f>
            <x14:dxf>
              <font>
                <color theme="1"/>
              </font>
              <fill>
                <patternFill>
                  <bgColor theme="1"/>
                </patternFill>
              </fill>
            </x14:dxf>
          </x14:cfRule>
          <xm:sqref>B32:G32</xm:sqref>
        </x14:conditionalFormatting>
        <x14:conditionalFormatting xmlns:xm="http://schemas.microsoft.com/office/excel/2006/main">
          <x14:cfRule type="expression" priority="25" id="{16693939-5631-40E4-8DF6-9BBEC5793151}">
            <xm:f>計算シート!$B$2=3</xm:f>
            <x14:dxf>
              <fill>
                <patternFill>
                  <bgColor theme="1"/>
                </patternFill>
              </fill>
            </x14:dxf>
          </x14:cfRule>
          <xm:sqref>E17:F39</xm:sqref>
        </x14:conditionalFormatting>
        <x14:conditionalFormatting xmlns:xm="http://schemas.microsoft.com/office/excel/2006/main">
          <x14:cfRule type="expression" priority="14"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6"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2"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4" id="{54ACC330-6A35-4911-99A3-4D20E03EFF41}">
            <xm:f>計算シート!$B$2=2</xm:f>
            <x14:dxf>
              <fill>
                <patternFill>
                  <bgColor theme="1"/>
                </patternFill>
              </fill>
            </x14:dxf>
          </x14:cfRule>
          <xm:sqref>F17:F39</xm:sqref>
        </x14:conditionalFormatting>
        <x14:conditionalFormatting xmlns:xm="http://schemas.microsoft.com/office/excel/2006/main">
          <x14:cfRule type="expression" priority="7" id="{7F96F0D0-63B4-4686-856C-EB24914B2668}">
            <xm:f>計算シート!$B$51=1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6" id="{69E1FE1E-60CD-4DDC-ADA4-CA3030388C8D}">
            <xm:f>計算シート!$B$51=1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8"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3"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21"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20"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5"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11"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4" id="{63555E55-361E-468A-8A73-18782AAE018F}">
            <xm:f>計算シート!$B$51=1</xm:f>
            <x14:dxf>
              <font>
                <color theme="1"/>
              </font>
              <fill>
                <patternFill>
                  <bgColor theme="1"/>
                </patternFill>
              </fill>
            </x14:dxf>
          </x14:cfRule>
          <xm:sqref>G17:G39</xm:sqref>
        </x14:conditionalFormatting>
        <x14:conditionalFormatting xmlns:xm="http://schemas.microsoft.com/office/excel/2006/main">
          <x14:cfRule type="expression" priority="22" id="{3CF463A4-855B-4A19-A514-96BBC58BCF53}">
            <xm:f>AND(計算シート!$B$4&lt;4,計算シート!$B$2&lt;3)</xm:f>
            <x14:dxf>
              <fill>
                <patternFill>
                  <bgColor theme="1"/>
                </patternFill>
              </fill>
            </x14:dxf>
          </x14:cfRule>
          <xm:sqref>G18:G20 G22:G39</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E33:G33</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IF(VLOOKUP($E$9,リストボックス!$C$1:$D$9,2,0)=5,リストボックス!$O$5,IF(計算シート!$B$51=1,リストボックス!$O$2:$O$4,リストボックス!$O$2:$O$5))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V44"/>
  <sheetViews>
    <sheetView view="pageBreakPreview" zoomScale="90" zoomScaleNormal="100" zoomScaleSheetLayoutView="90" workbookViewId="0"/>
  </sheetViews>
  <sheetFormatPr defaultRowHeight="13.2" x14ac:dyDescent="0.2"/>
  <cols>
    <col min="1" max="1" width="1.6640625" customWidth="1"/>
    <col min="2" max="2" width="7.109375" customWidth="1"/>
    <col min="4" max="4" width="24.33203125" customWidth="1"/>
    <col min="5" max="5" width="22.33203125" customWidth="1"/>
    <col min="6" max="6" width="25.21875" customWidth="1"/>
    <col min="7" max="7" width="22.33203125" customWidth="1"/>
    <col min="8" max="8" width="13.21875" customWidth="1"/>
    <col min="9" max="9" width="0.33203125" customWidth="1"/>
    <col min="21" max="21" width="12.109375" customWidth="1"/>
    <col min="22" max="22" width="10.33203125" customWidth="1"/>
  </cols>
  <sheetData>
    <row r="1" spans="2:22" ht="23.25" customHeight="1" x14ac:dyDescent="0.2">
      <c r="B1" s="75" t="s">
        <v>145</v>
      </c>
      <c r="E1" s="37" t="s">
        <v>71</v>
      </c>
      <c r="G1" s="13">
        <v>2026.03</v>
      </c>
      <c r="H1" s="39"/>
      <c r="I1" s="107" t="s">
        <v>72</v>
      </c>
      <c r="J1" s="108"/>
      <c r="N1" s="40" t="s">
        <v>83</v>
      </c>
      <c r="V1" s="13">
        <f>G1</f>
        <v>2026.03</v>
      </c>
    </row>
    <row r="2" spans="2:22" x14ac:dyDescent="0.2">
      <c r="G2" s="13"/>
      <c r="H2" s="13"/>
      <c r="I2" s="108"/>
    </row>
    <row r="3" spans="2:22" x14ac:dyDescent="0.2">
      <c r="B3" t="s">
        <v>137</v>
      </c>
      <c r="G3" s="13"/>
      <c r="H3" s="13"/>
      <c r="I3" s="108"/>
      <c r="J3" t="s">
        <v>172</v>
      </c>
    </row>
    <row r="4" spans="2:22" x14ac:dyDescent="0.2">
      <c r="B4" t="s">
        <v>138</v>
      </c>
      <c r="G4" s="13"/>
      <c r="H4" s="13"/>
      <c r="I4" s="108"/>
      <c r="J4" t="s">
        <v>85</v>
      </c>
    </row>
    <row r="5" spans="2:22" ht="9" customHeight="1" x14ac:dyDescent="0.2">
      <c r="G5" s="13"/>
      <c r="H5" s="13"/>
      <c r="I5" s="108"/>
      <c r="J5" s="158" t="s">
        <v>173</v>
      </c>
      <c r="K5" s="158"/>
      <c r="L5" s="158"/>
      <c r="M5" s="158"/>
      <c r="N5" s="158"/>
      <c r="O5" s="158"/>
      <c r="P5" s="158"/>
      <c r="Q5" s="158"/>
      <c r="R5" s="158"/>
      <c r="S5" s="158"/>
      <c r="T5" s="158"/>
      <c r="U5" s="158"/>
      <c r="V5" s="158"/>
    </row>
    <row r="6" spans="2:22" ht="13.5" customHeight="1" x14ac:dyDescent="0.2">
      <c r="B6" s="33" t="s">
        <v>66</v>
      </c>
      <c r="G6" s="13" t="s">
        <v>73</v>
      </c>
      <c r="H6" s="13"/>
      <c r="I6" s="108"/>
      <c r="J6" s="158"/>
      <c r="K6" s="158"/>
      <c r="L6" s="158"/>
      <c r="M6" s="158"/>
      <c r="N6" s="158"/>
      <c r="O6" s="158"/>
      <c r="P6" s="158"/>
      <c r="Q6" s="158"/>
      <c r="R6" s="158"/>
      <c r="S6" s="158"/>
      <c r="T6" s="158"/>
      <c r="U6" s="158"/>
      <c r="V6" s="158"/>
    </row>
    <row r="7" spans="2:22" ht="24.75" customHeight="1" thickBot="1" x14ac:dyDescent="0.25">
      <c r="B7" s="19" t="s">
        <v>157</v>
      </c>
      <c r="G7" s="13"/>
      <c r="H7" s="13"/>
      <c r="I7" s="108"/>
      <c r="J7" s="158"/>
      <c r="K7" s="158"/>
      <c r="L7" s="158"/>
      <c r="M7" s="158"/>
      <c r="N7" s="158"/>
      <c r="O7" s="158"/>
      <c r="P7" s="158"/>
      <c r="Q7" s="158"/>
      <c r="R7" s="158"/>
      <c r="S7" s="158"/>
      <c r="T7" s="158"/>
      <c r="U7" s="158"/>
      <c r="V7" s="158"/>
    </row>
    <row r="8" spans="2:22" ht="27" customHeight="1" x14ac:dyDescent="0.2">
      <c r="B8" s="145" t="s">
        <v>119</v>
      </c>
      <c r="C8" s="146"/>
      <c r="D8" s="147"/>
      <c r="E8" s="42">
        <v>2026</v>
      </c>
      <c r="F8" s="84" t="s">
        <v>151</v>
      </c>
      <c r="G8" s="81" t="s">
        <v>141</v>
      </c>
      <c r="H8" s="85"/>
      <c r="I8" s="108"/>
      <c r="J8" s="158"/>
      <c r="K8" s="158"/>
      <c r="L8" s="158"/>
      <c r="M8" s="158"/>
      <c r="N8" s="158"/>
      <c r="O8" s="158"/>
      <c r="P8" s="158"/>
      <c r="Q8" s="158"/>
      <c r="R8" s="158"/>
      <c r="S8" s="158"/>
      <c r="T8" s="158"/>
      <c r="U8" s="158"/>
      <c r="V8" s="158"/>
    </row>
    <row r="9" spans="2:22" ht="27" customHeight="1" x14ac:dyDescent="0.2">
      <c r="B9" s="148" t="s">
        <v>68</v>
      </c>
      <c r="C9" s="149"/>
      <c r="D9" s="150"/>
      <c r="E9" s="60" t="s">
        <v>38</v>
      </c>
      <c r="F9" s="82" t="s">
        <v>146</v>
      </c>
      <c r="G9" s="76" t="s">
        <v>143</v>
      </c>
      <c r="H9" s="85"/>
      <c r="I9" s="108"/>
      <c r="J9" s="158"/>
      <c r="K9" s="158"/>
      <c r="L9" s="158"/>
      <c r="M9" s="158"/>
      <c r="N9" s="158"/>
      <c r="O9" s="158"/>
      <c r="P9" s="158"/>
      <c r="Q9" s="158"/>
      <c r="R9" s="158"/>
      <c r="S9" s="158"/>
      <c r="T9" s="158"/>
      <c r="U9" s="158"/>
      <c r="V9" s="158"/>
    </row>
    <row r="10" spans="2:22" ht="27" customHeight="1" x14ac:dyDescent="0.2">
      <c r="B10" s="148" t="s">
        <v>135</v>
      </c>
      <c r="C10" s="149"/>
      <c r="D10" s="150"/>
      <c r="E10" s="50" t="s">
        <v>97</v>
      </c>
      <c r="F10" s="82" t="s">
        <v>147</v>
      </c>
      <c r="G10" s="77" t="s">
        <v>98</v>
      </c>
      <c r="H10" s="86"/>
      <c r="I10" s="108"/>
      <c r="J10" s="158"/>
      <c r="K10" s="158"/>
      <c r="L10" s="158"/>
      <c r="M10" s="158"/>
      <c r="N10" s="158"/>
      <c r="O10" s="158"/>
      <c r="P10" s="158"/>
      <c r="Q10" s="158"/>
      <c r="R10" s="158"/>
      <c r="S10" s="158"/>
      <c r="T10" s="158"/>
      <c r="U10" s="158"/>
      <c r="V10" s="158"/>
    </row>
    <row r="11" spans="2:22" ht="27" customHeight="1" x14ac:dyDescent="0.2">
      <c r="B11" s="148" t="s">
        <v>136</v>
      </c>
      <c r="C11" s="149"/>
      <c r="D11" s="150"/>
      <c r="E11" s="73">
        <v>2</v>
      </c>
      <c r="F11" s="82" t="s">
        <v>148</v>
      </c>
      <c r="G11" s="78" t="s">
        <v>108</v>
      </c>
      <c r="H11" s="86"/>
      <c r="I11" s="108"/>
      <c r="J11" s="158"/>
      <c r="K11" s="158"/>
      <c r="L11" s="158"/>
      <c r="M11" s="158"/>
      <c r="N11" s="158"/>
      <c r="O11" s="158"/>
      <c r="P11" s="158"/>
      <c r="Q11" s="158"/>
      <c r="R11" s="158"/>
      <c r="S11" s="158"/>
      <c r="T11" s="158"/>
      <c r="U11" s="158"/>
      <c r="V11" s="158"/>
    </row>
    <row r="12" spans="2:22" ht="27" customHeight="1" x14ac:dyDescent="0.2">
      <c r="B12" s="148" t="s">
        <v>128</v>
      </c>
      <c r="C12" s="149"/>
      <c r="D12" s="150"/>
      <c r="E12" s="100">
        <v>2</v>
      </c>
      <c r="F12" s="82" t="s">
        <v>149</v>
      </c>
      <c r="G12" s="79" t="s">
        <v>131</v>
      </c>
      <c r="H12" s="87"/>
      <c r="I12" s="108"/>
      <c r="J12" s="64"/>
      <c r="K12" s="64"/>
      <c r="L12" s="64"/>
      <c r="M12" s="64"/>
      <c r="N12" s="64"/>
      <c r="O12" s="64"/>
      <c r="P12" s="64"/>
      <c r="Q12" s="64"/>
      <c r="R12" s="64"/>
      <c r="S12" s="64"/>
      <c r="T12" s="64"/>
      <c r="U12" s="64"/>
      <c r="V12" s="64"/>
    </row>
    <row r="13" spans="2:22" ht="27" customHeight="1" thickBot="1" x14ac:dyDescent="0.25">
      <c r="B13" s="161" t="s">
        <v>166</v>
      </c>
      <c r="C13" s="162"/>
      <c r="D13" s="163"/>
      <c r="E13" s="97" t="s">
        <v>167</v>
      </c>
      <c r="F13" s="83" t="s">
        <v>150</v>
      </c>
      <c r="G13" s="80" t="s">
        <v>122</v>
      </c>
      <c r="H13" s="87"/>
      <c r="I13" s="108"/>
      <c r="J13" s="64"/>
      <c r="K13" s="64"/>
      <c r="L13" s="64"/>
      <c r="M13" s="64"/>
      <c r="N13" s="64"/>
      <c r="O13" s="64"/>
      <c r="P13" s="64"/>
      <c r="Q13" s="64"/>
      <c r="R13" s="64"/>
      <c r="S13" s="64"/>
      <c r="T13" s="64"/>
      <c r="U13" s="64"/>
      <c r="V13" s="64"/>
    </row>
    <row r="14" spans="2:22" ht="17.25" customHeight="1" x14ac:dyDescent="0.2">
      <c r="B14" s="34" t="s">
        <v>69</v>
      </c>
      <c r="C14" s="14"/>
      <c r="D14" s="14"/>
      <c r="E14" s="14"/>
      <c r="I14" s="108"/>
      <c r="J14" s="41"/>
      <c r="K14" s="41"/>
      <c r="L14" s="41"/>
      <c r="M14" s="41"/>
      <c r="N14" s="41"/>
      <c r="O14" s="41"/>
      <c r="P14" s="41"/>
      <c r="Q14" s="41"/>
      <c r="R14" s="41"/>
      <c r="S14" s="41"/>
      <c r="T14" s="41"/>
      <c r="U14" s="41"/>
      <c r="V14" s="41"/>
    </row>
    <row r="15" spans="2:22" ht="24" customHeight="1" x14ac:dyDescent="0.2">
      <c r="B15" s="19" t="s">
        <v>70</v>
      </c>
      <c r="C15" s="14"/>
      <c r="D15" s="14"/>
      <c r="E15" s="14"/>
      <c r="I15" s="108"/>
      <c r="J15" s="41"/>
      <c r="K15" s="41"/>
      <c r="L15" s="41"/>
      <c r="M15" s="41"/>
      <c r="N15" s="41"/>
      <c r="O15" s="41"/>
      <c r="P15" s="41"/>
      <c r="Q15" s="41"/>
      <c r="R15" s="41"/>
      <c r="S15" s="41"/>
      <c r="T15" s="41"/>
      <c r="U15" s="41"/>
      <c r="V15" s="41"/>
    </row>
    <row r="16" spans="2:22" ht="24" customHeight="1" thickBot="1" x14ac:dyDescent="0.25">
      <c r="B16" s="19" t="s">
        <v>155</v>
      </c>
      <c r="C16" s="14"/>
      <c r="D16" s="14"/>
      <c r="E16" s="14"/>
      <c r="I16" s="108"/>
      <c r="J16" s="41"/>
      <c r="K16" s="41"/>
      <c r="L16" s="41"/>
      <c r="M16" s="41"/>
      <c r="N16" s="41"/>
      <c r="O16" s="41"/>
      <c r="P16" s="41"/>
      <c r="Q16" s="41"/>
      <c r="R16" s="41"/>
      <c r="S16" s="41"/>
      <c r="T16" s="41"/>
      <c r="U16" s="41"/>
      <c r="V16" s="41"/>
    </row>
    <row r="17" spans="2:22" ht="27" customHeight="1" thickBot="1" x14ac:dyDescent="0.25">
      <c r="B17" s="15" t="s">
        <v>34</v>
      </c>
      <c r="C17" s="151" t="s">
        <v>31</v>
      </c>
      <c r="D17" s="152"/>
      <c r="E17" s="16" t="s">
        <v>9</v>
      </c>
      <c r="F17" s="17" t="s">
        <v>197</v>
      </c>
      <c r="G17" s="18" t="s">
        <v>11</v>
      </c>
      <c r="H17" s="88"/>
      <c r="I17" s="108"/>
    </row>
    <row r="18" spans="2:22" ht="27" customHeight="1" thickTop="1" x14ac:dyDescent="0.2">
      <c r="B18" s="12">
        <v>1</v>
      </c>
      <c r="C18" s="129" t="s">
        <v>55</v>
      </c>
      <c r="D18" s="130"/>
      <c r="E18" s="26">
        <v>2587200</v>
      </c>
      <c r="F18" s="26">
        <v>0</v>
      </c>
      <c r="G18" s="52"/>
      <c r="H18" s="89"/>
      <c r="I18" s="108"/>
    </row>
    <row r="19" spans="2:22" ht="27" customHeight="1" x14ac:dyDescent="0.2">
      <c r="B19" s="1">
        <v>2</v>
      </c>
      <c r="C19" s="135" t="s">
        <v>4</v>
      </c>
      <c r="D19" s="8" t="s">
        <v>17</v>
      </c>
      <c r="E19" s="20" t="s">
        <v>45</v>
      </c>
      <c r="F19" s="21" t="s">
        <v>45</v>
      </c>
      <c r="G19" s="53" t="s">
        <v>45</v>
      </c>
      <c r="H19" s="90"/>
      <c r="I19" s="108"/>
    </row>
    <row r="20" spans="2:22" ht="27" customHeight="1" x14ac:dyDescent="0.2">
      <c r="B20" s="1">
        <v>3</v>
      </c>
      <c r="C20" s="135"/>
      <c r="D20" s="8" t="s">
        <v>84</v>
      </c>
      <c r="E20" s="20" t="s">
        <v>45</v>
      </c>
      <c r="F20" s="21" t="s">
        <v>45</v>
      </c>
      <c r="G20" s="53" t="s">
        <v>45</v>
      </c>
      <c r="H20" s="90"/>
      <c r="I20" s="108"/>
    </row>
    <row r="21" spans="2:22" ht="27" customHeight="1" x14ac:dyDescent="0.2">
      <c r="B21" s="1">
        <v>4</v>
      </c>
      <c r="C21" s="133" t="s">
        <v>5</v>
      </c>
      <c r="D21" s="134"/>
      <c r="E21" s="29">
        <v>27851</v>
      </c>
      <c r="F21" s="29">
        <v>27852</v>
      </c>
      <c r="G21" s="31">
        <v>39175</v>
      </c>
      <c r="H21" s="91"/>
      <c r="I21" s="108"/>
    </row>
    <row r="22" spans="2:22" ht="27" customHeight="1" x14ac:dyDescent="0.2">
      <c r="B22" s="1">
        <v>5</v>
      </c>
      <c r="C22" s="171" t="s">
        <v>156</v>
      </c>
      <c r="D22" s="172"/>
      <c r="E22" s="20" t="s">
        <v>41</v>
      </c>
      <c r="F22" s="21" t="s">
        <v>41</v>
      </c>
      <c r="G22" s="53" t="s">
        <v>41</v>
      </c>
      <c r="H22" s="90"/>
      <c r="I22" s="108"/>
    </row>
    <row r="23" spans="2:22" ht="27" customHeight="1" x14ac:dyDescent="0.2">
      <c r="B23" s="1">
        <v>6</v>
      </c>
      <c r="C23" s="129" t="s">
        <v>56</v>
      </c>
      <c r="D23" s="130"/>
      <c r="E23" s="26">
        <v>0</v>
      </c>
      <c r="F23" s="27">
        <v>0</v>
      </c>
      <c r="G23" s="52"/>
      <c r="H23" s="89"/>
      <c r="I23" s="108"/>
    </row>
    <row r="24" spans="2:22" ht="27" customHeight="1" x14ac:dyDescent="0.2">
      <c r="B24" s="1">
        <v>7</v>
      </c>
      <c r="C24" s="129" t="s">
        <v>2</v>
      </c>
      <c r="D24" s="130"/>
      <c r="E24" s="20" t="s">
        <v>46</v>
      </c>
      <c r="F24" s="21" t="s">
        <v>45</v>
      </c>
      <c r="G24" s="53" t="s">
        <v>45</v>
      </c>
      <c r="H24" s="90"/>
      <c r="I24" s="108"/>
    </row>
    <row r="25" spans="2:22" ht="27" customHeight="1" x14ac:dyDescent="0.2">
      <c r="B25" s="1">
        <v>8</v>
      </c>
      <c r="C25" s="135" t="s">
        <v>3</v>
      </c>
      <c r="D25" s="8" t="s">
        <v>57</v>
      </c>
      <c r="E25" s="23">
        <v>1</v>
      </c>
      <c r="F25" s="24">
        <v>0</v>
      </c>
      <c r="G25" s="54"/>
      <c r="H25" s="92"/>
      <c r="I25" s="108"/>
      <c r="J25" s="158" t="s">
        <v>198</v>
      </c>
      <c r="K25" s="158"/>
      <c r="L25" s="158"/>
      <c r="M25" s="158"/>
      <c r="N25" s="158"/>
      <c r="O25" s="158"/>
      <c r="P25" s="158"/>
      <c r="Q25" s="158"/>
      <c r="R25" s="158"/>
      <c r="S25" s="158"/>
      <c r="T25" s="158"/>
      <c r="U25" s="158"/>
      <c r="V25" s="158"/>
    </row>
    <row r="26" spans="2:22" ht="27" customHeight="1" x14ac:dyDescent="0.2">
      <c r="B26" s="1">
        <v>9</v>
      </c>
      <c r="C26" s="135"/>
      <c r="D26" s="8" t="s">
        <v>58</v>
      </c>
      <c r="E26" s="23">
        <v>0</v>
      </c>
      <c r="F26" s="24">
        <v>0</v>
      </c>
      <c r="G26" s="54"/>
      <c r="H26" s="92"/>
      <c r="I26" s="108"/>
      <c r="J26" s="158"/>
      <c r="K26" s="158"/>
      <c r="L26" s="158"/>
      <c r="M26" s="158"/>
      <c r="N26" s="158"/>
      <c r="O26" s="158"/>
      <c r="P26" s="158"/>
      <c r="Q26" s="158"/>
      <c r="R26" s="158"/>
      <c r="S26" s="158"/>
      <c r="T26" s="158"/>
      <c r="U26" s="158"/>
      <c r="V26" s="158"/>
    </row>
    <row r="27" spans="2:22" ht="27" customHeight="1" x14ac:dyDescent="0.2">
      <c r="B27" s="1">
        <v>10</v>
      </c>
      <c r="C27" s="135"/>
      <c r="D27" s="8" t="s">
        <v>59</v>
      </c>
      <c r="E27" s="23">
        <v>0</v>
      </c>
      <c r="F27" s="24">
        <v>0</v>
      </c>
      <c r="G27" s="54"/>
      <c r="H27" s="92"/>
      <c r="I27" s="108"/>
      <c r="J27" s="158"/>
      <c r="K27" s="158"/>
      <c r="L27" s="158"/>
      <c r="M27" s="158"/>
      <c r="N27" s="158"/>
      <c r="O27" s="158"/>
      <c r="P27" s="158"/>
      <c r="Q27" s="158"/>
      <c r="R27" s="158"/>
      <c r="S27" s="158"/>
      <c r="T27" s="158"/>
      <c r="U27" s="158"/>
      <c r="V27" s="158"/>
    </row>
    <row r="28" spans="2:22" ht="27" customHeight="1" x14ac:dyDescent="0.2">
      <c r="B28" s="1">
        <v>11</v>
      </c>
      <c r="C28" s="129" t="s">
        <v>60</v>
      </c>
      <c r="D28" s="130"/>
      <c r="E28" s="23">
        <v>1</v>
      </c>
      <c r="F28" s="24">
        <v>0</v>
      </c>
      <c r="G28" s="54"/>
      <c r="H28" s="92"/>
      <c r="I28" s="108"/>
      <c r="J28" s="158"/>
      <c r="K28" s="158"/>
      <c r="L28" s="158"/>
      <c r="M28" s="158"/>
      <c r="N28" s="158"/>
      <c r="O28" s="158"/>
      <c r="P28" s="158"/>
      <c r="Q28" s="158"/>
      <c r="R28" s="158"/>
      <c r="S28" s="158"/>
      <c r="T28" s="158"/>
      <c r="U28" s="158"/>
      <c r="V28" s="158"/>
    </row>
    <row r="29" spans="2:22" ht="27" customHeight="1" x14ac:dyDescent="0.2">
      <c r="B29" s="115">
        <v>12</v>
      </c>
      <c r="C29" s="124" t="s">
        <v>174</v>
      </c>
      <c r="D29" s="125"/>
      <c r="E29" s="112">
        <v>0</v>
      </c>
      <c r="F29" s="26">
        <v>0</v>
      </c>
      <c r="G29" s="111"/>
      <c r="H29" s="92"/>
      <c r="I29" s="108"/>
      <c r="J29" s="158"/>
      <c r="K29" s="158"/>
      <c r="L29" s="158"/>
      <c r="M29" s="158"/>
      <c r="N29" s="158"/>
      <c r="O29" s="158"/>
      <c r="P29" s="158"/>
      <c r="Q29" s="158"/>
      <c r="R29" s="158"/>
      <c r="S29" s="158"/>
      <c r="T29" s="158"/>
      <c r="U29" s="158"/>
      <c r="V29" s="158"/>
    </row>
    <row r="30" spans="2:22" ht="27" customHeight="1" x14ac:dyDescent="0.2">
      <c r="B30" s="1">
        <v>13</v>
      </c>
      <c r="C30" s="129" t="s">
        <v>61</v>
      </c>
      <c r="D30" s="130"/>
      <c r="E30" s="26">
        <v>929000</v>
      </c>
      <c r="F30" s="26">
        <v>0</v>
      </c>
      <c r="G30" s="52"/>
      <c r="H30" s="89"/>
      <c r="I30" s="108"/>
      <c r="J30" s="158"/>
      <c r="K30" s="158"/>
      <c r="L30" s="158"/>
      <c r="M30" s="158"/>
      <c r="N30" s="158"/>
      <c r="O30" s="158"/>
      <c r="P30" s="158"/>
      <c r="Q30" s="158"/>
      <c r="R30" s="158"/>
      <c r="S30" s="158"/>
      <c r="T30" s="158"/>
      <c r="U30" s="158"/>
      <c r="V30" s="158"/>
    </row>
    <row r="31" spans="2:22" ht="27" customHeight="1" x14ac:dyDescent="0.2">
      <c r="B31" s="1">
        <v>14</v>
      </c>
      <c r="C31" s="129" t="s">
        <v>62</v>
      </c>
      <c r="D31" s="130"/>
      <c r="E31" s="26">
        <v>6000</v>
      </c>
      <c r="F31" s="26">
        <v>0</v>
      </c>
      <c r="G31" s="52"/>
      <c r="H31" s="89"/>
      <c r="I31" s="108"/>
      <c r="J31" s="158"/>
      <c r="K31" s="158"/>
      <c r="L31" s="158"/>
      <c r="M31" s="158"/>
      <c r="N31" s="158"/>
      <c r="O31" s="158"/>
      <c r="P31" s="158"/>
      <c r="Q31" s="158"/>
      <c r="R31" s="158"/>
      <c r="S31" s="158"/>
      <c r="T31" s="158"/>
      <c r="U31" s="158"/>
      <c r="V31" s="158"/>
    </row>
    <row r="32" spans="2:22" ht="27" customHeight="1" x14ac:dyDescent="0.2">
      <c r="B32" s="1">
        <v>15</v>
      </c>
      <c r="C32" s="129" t="s">
        <v>113</v>
      </c>
      <c r="D32" s="130"/>
      <c r="E32" s="26">
        <v>0</v>
      </c>
      <c r="F32" s="26">
        <v>0</v>
      </c>
      <c r="G32" s="52"/>
      <c r="H32" s="89"/>
      <c r="I32" s="108"/>
      <c r="J32" s="158"/>
      <c r="K32" s="158"/>
      <c r="L32" s="158"/>
      <c r="M32" s="158"/>
      <c r="N32" s="158"/>
      <c r="O32" s="158"/>
      <c r="P32" s="158"/>
      <c r="Q32" s="158"/>
      <c r="R32" s="158"/>
      <c r="S32" s="158"/>
      <c r="T32" s="158"/>
      <c r="U32" s="158"/>
      <c r="V32" s="158"/>
    </row>
    <row r="33" spans="2:22" ht="27" customHeight="1" x14ac:dyDescent="0.2">
      <c r="B33" s="1">
        <v>16</v>
      </c>
      <c r="C33" s="129" t="s">
        <v>7</v>
      </c>
      <c r="D33" s="130"/>
      <c r="E33" s="20" t="s">
        <v>44</v>
      </c>
      <c r="F33" s="21" t="s">
        <v>44</v>
      </c>
      <c r="G33" s="52"/>
      <c r="H33" s="89"/>
      <c r="I33" s="108"/>
      <c r="J33" s="158"/>
      <c r="K33" s="158"/>
      <c r="L33" s="158"/>
      <c r="M33" s="158"/>
      <c r="N33" s="158"/>
      <c r="O33" s="158"/>
      <c r="P33" s="158"/>
      <c r="Q33" s="158"/>
      <c r="R33" s="158"/>
      <c r="S33" s="158"/>
      <c r="T33" s="158"/>
      <c r="U33" s="158"/>
      <c r="V33" s="158"/>
    </row>
    <row r="34" spans="2:22" ht="27" hidden="1" customHeight="1" thickBot="1" x14ac:dyDescent="0.25">
      <c r="B34" s="45"/>
      <c r="C34" s="139" t="s">
        <v>86</v>
      </c>
      <c r="D34" s="159"/>
      <c r="E34" s="46">
        <v>2</v>
      </c>
      <c r="F34" s="47"/>
      <c r="G34" s="55" t="s">
        <v>43</v>
      </c>
      <c r="H34" s="90"/>
      <c r="I34" s="108"/>
      <c r="J34" s="158"/>
      <c r="K34" s="158"/>
      <c r="L34" s="158"/>
      <c r="M34" s="158"/>
      <c r="N34" s="158"/>
      <c r="O34" s="158"/>
      <c r="P34" s="158"/>
      <c r="Q34" s="158"/>
      <c r="R34" s="158"/>
      <c r="S34" s="158"/>
      <c r="T34" s="158"/>
      <c r="U34" s="158"/>
      <c r="V34" s="158"/>
    </row>
    <row r="35" spans="2:22" ht="27" customHeight="1" x14ac:dyDescent="0.2">
      <c r="B35" s="44"/>
      <c r="C35" s="136" t="s">
        <v>35</v>
      </c>
      <c r="D35" s="134"/>
      <c r="E35" s="6">
        <v>0</v>
      </c>
      <c r="F35" s="4">
        <v>0</v>
      </c>
      <c r="G35" s="56">
        <v>0</v>
      </c>
      <c r="H35" s="89"/>
      <c r="I35" s="108"/>
      <c r="J35" s="158"/>
      <c r="K35" s="158"/>
      <c r="L35" s="158"/>
      <c r="M35" s="158"/>
      <c r="N35" s="158"/>
      <c r="O35" s="158"/>
      <c r="P35" s="158"/>
      <c r="Q35" s="158"/>
      <c r="R35" s="158"/>
      <c r="S35" s="158"/>
      <c r="T35" s="158"/>
      <c r="U35" s="158"/>
      <c r="V35" s="158"/>
    </row>
    <row r="36" spans="2:22" ht="27" customHeight="1" x14ac:dyDescent="0.2">
      <c r="B36" s="1"/>
      <c r="C36" s="133" t="s">
        <v>63</v>
      </c>
      <c r="D36" s="134"/>
      <c r="E36" s="6">
        <v>2587200</v>
      </c>
      <c r="F36" s="4">
        <v>0</v>
      </c>
      <c r="G36" s="56">
        <v>0</v>
      </c>
      <c r="H36" s="89"/>
      <c r="I36" s="108"/>
      <c r="J36" s="158"/>
      <c r="K36" s="158"/>
      <c r="L36" s="158"/>
      <c r="M36" s="158"/>
      <c r="N36" s="158"/>
      <c r="O36" s="158"/>
      <c r="P36" s="158"/>
      <c r="Q36" s="158"/>
      <c r="R36" s="158"/>
      <c r="S36" s="158"/>
      <c r="T36" s="158"/>
      <c r="U36" s="158"/>
      <c r="V36" s="158"/>
    </row>
    <row r="37" spans="2:22" ht="27" customHeight="1" x14ac:dyDescent="0.2">
      <c r="B37" s="1"/>
      <c r="C37" s="129" t="s">
        <v>64</v>
      </c>
      <c r="D37" s="130"/>
      <c r="E37" s="9">
        <v>3</v>
      </c>
      <c r="F37" s="9">
        <v>0</v>
      </c>
      <c r="G37" s="57">
        <v>0</v>
      </c>
      <c r="H37" s="93"/>
      <c r="I37" s="108"/>
      <c r="J37" s="158"/>
      <c r="K37" s="158"/>
      <c r="L37" s="158"/>
      <c r="M37" s="158"/>
      <c r="N37" s="158"/>
      <c r="O37" s="158"/>
      <c r="P37" s="158"/>
      <c r="Q37" s="158"/>
      <c r="R37" s="158"/>
      <c r="S37" s="158"/>
      <c r="T37" s="158"/>
      <c r="U37" s="158"/>
      <c r="V37" s="158"/>
    </row>
    <row r="38" spans="2:22" ht="27" customHeight="1" x14ac:dyDescent="0.2">
      <c r="B38" s="1"/>
      <c r="C38" s="135" t="s">
        <v>65</v>
      </c>
      <c r="D38" s="130"/>
      <c r="E38" s="7">
        <v>1820000</v>
      </c>
      <c r="F38" s="2">
        <v>450000</v>
      </c>
      <c r="G38" s="52">
        <v>0</v>
      </c>
      <c r="H38" s="89"/>
      <c r="I38" s="108"/>
      <c r="J38" s="158"/>
      <c r="K38" s="158"/>
      <c r="L38" s="158"/>
      <c r="M38" s="158"/>
      <c r="N38" s="158"/>
      <c r="O38" s="158"/>
      <c r="P38" s="158"/>
      <c r="Q38" s="158"/>
      <c r="R38" s="158"/>
      <c r="S38" s="158"/>
      <c r="T38" s="158"/>
      <c r="U38" s="158"/>
      <c r="V38" s="158"/>
    </row>
    <row r="39" spans="2:22" ht="27" customHeight="1" thickBot="1" x14ac:dyDescent="0.25">
      <c r="B39" s="1"/>
      <c r="C39" s="164" t="s">
        <v>152</v>
      </c>
      <c r="D39" s="165"/>
      <c r="E39" s="35">
        <v>51200</v>
      </c>
      <c r="F39" s="2">
        <v>0</v>
      </c>
      <c r="G39" s="58">
        <v>0</v>
      </c>
      <c r="H39" s="89"/>
      <c r="I39" s="108"/>
      <c r="J39" s="158"/>
      <c r="K39" s="158"/>
      <c r="L39" s="158"/>
      <c r="M39" s="158"/>
      <c r="N39" s="158"/>
      <c r="O39" s="158"/>
      <c r="P39" s="158"/>
      <c r="Q39" s="158"/>
      <c r="R39" s="158"/>
      <c r="S39" s="158"/>
      <c r="T39" s="158"/>
      <c r="U39" s="158"/>
      <c r="V39" s="158"/>
    </row>
    <row r="40" spans="2:22" ht="27" customHeight="1" thickTop="1" thickBot="1" x14ac:dyDescent="0.25">
      <c r="B40" s="43"/>
      <c r="C40" s="160" t="s">
        <v>153</v>
      </c>
      <c r="D40" s="140"/>
      <c r="E40" s="141">
        <v>51200</v>
      </c>
      <c r="F40" s="142"/>
      <c r="G40" s="143"/>
      <c r="H40" s="94"/>
      <c r="I40" s="110"/>
      <c r="J40" s="158"/>
      <c r="K40" s="158"/>
      <c r="L40" s="158"/>
      <c r="M40" s="158"/>
      <c r="N40" s="158"/>
      <c r="O40" s="158"/>
      <c r="P40" s="158"/>
      <c r="Q40" s="158"/>
      <c r="R40" s="158"/>
      <c r="S40" s="158"/>
      <c r="T40" s="158"/>
      <c r="U40" s="158"/>
      <c r="V40" s="158"/>
    </row>
    <row r="41" spans="2:22" ht="29.4" customHeight="1" thickTop="1" thickBot="1" x14ac:dyDescent="0.25">
      <c r="B41" s="36"/>
      <c r="C41" s="166" t="s">
        <v>154</v>
      </c>
      <c r="D41" s="167"/>
      <c r="E41" s="168" t="s">
        <v>111</v>
      </c>
      <c r="F41" s="169"/>
      <c r="G41" s="170"/>
      <c r="H41" s="14"/>
      <c r="I41" s="108"/>
      <c r="J41" s="158"/>
      <c r="K41" s="158"/>
      <c r="L41" s="158"/>
      <c r="M41" s="158"/>
      <c r="N41" s="158"/>
      <c r="O41" s="158"/>
      <c r="P41" s="158"/>
      <c r="Q41" s="158"/>
      <c r="R41" s="158"/>
      <c r="S41" s="158"/>
      <c r="T41" s="158"/>
      <c r="U41" s="158"/>
      <c r="V41" s="158"/>
    </row>
    <row r="42" spans="2:22" ht="111.6" customHeight="1" x14ac:dyDescent="0.2">
      <c r="I42" s="108"/>
      <c r="J42" s="158"/>
      <c r="K42" s="158"/>
      <c r="L42" s="158"/>
      <c r="M42" s="158"/>
      <c r="N42" s="158"/>
      <c r="O42" s="158"/>
      <c r="P42" s="158"/>
      <c r="Q42" s="158"/>
      <c r="R42" s="158"/>
      <c r="S42" s="158"/>
      <c r="T42" s="158"/>
      <c r="U42" s="158"/>
      <c r="V42" s="158"/>
    </row>
    <row r="43" spans="2:22" x14ac:dyDescent="0.2">
      <c r="B43" s="102"/>
      <c r="I43" s="108"/>
    </row>
    <row r="44" spans="2:22" x14ac:dyDescent="0.2">
      <c r="I44" s="109"/>
    </row>
  </sheetData>
  <sheetProtection algorithmName="SHA-512" hashValue="6myFENBsZ9BgrzP7JoAWhtZ748smU7fF43+eAXiLtMkE8041Yx9M/3onanQtrb4k7zXKYZc2zm0LJ2jaxNM2pw==" saltValue="4ey86HS6cu9JHrppmp5Uyg==" spinCount="100000" sheet="1" objects="1" scenarios="1"/>
  <protectedRanges>
    <protectedRange sqref="E31 E33:E34" name="範囲2"/>
    <protectedRange sqref="E10:E12" name="範囲1_4"/>
    <protectedRange sqref="E32 G32:H32" name="範囲2_1"/>
    <protectedRange sqref="E29 G29" name="範囲2_2"/>
    <protectedRange sqref="F18:F20 F22:F34" name="範囲2_4"/>
  </protectedRanges>
  <mergeCells count="32">
    <mergeCell ref="J5:V11"/>
    <mergeCell ref="C37:D37"/>
    <mergeCell ref="C38:D38"/>
    <mergeCell ref="C39:D39"/>
    <mergeCell ref="C41:D41"/>
    <mergeCell ref="E41:G41"/>
    <mergeCell ref="C36:D36"/>
    <mergeCell ref="C21:D21"/>
    <mergeCell ref="C22:D22"/>
    <mergeCell ref="C23:D23"/>
    <mergeCell ref="C24:D24"/>
    <mergeCell ref="C25:C27"/>
    <mergeCell ref="C35:D35"/>
    <mergeCell ref="C19:C20"/>
    <mergeCell ref="B8:D8"/>
    <mergeCell ref="B9:D9"/>
    <mergeCell ref="B11:D11"/>
    <mergeCell ref="C17:D17"/>
    <mergeCell ref="C18:D18"/>
    <mergeCell ref="B10:D10"/>
    <mergeCell ref="B12:D12"/>
    <mergeCell ref="B13:D13"/>
    <mergeCell ref="J25:V42"/>
    <mergeCell ref="C28:D28"/>
    <mergeCell ref="C30:D30"/>
    <mergeCell ref="C31:D31"/>
    <mergeCell ref="C33:D33"/>
    <mergeCell ref="C34:D34"/>
    <mergeCell ref="C32:D32"/>
    <mergeCell ref="C40:D40"/>
    <mergeCell ref="E40:G40"/>
    <mergeCell ref="C29:D29"/>
  </mergeCells>
  <phoneticPr fontId="1"/>
  <dataValidations count="1">
    <dataValidation type="whole" allowBlank="1" showInputMessage="1" showErrorMessage="1" sqref="E12" xr:uid="{00000000-0002-0000-0100-000000000000}">
      <formula1>0</formula1>
      <formula2>99</formula2>
    </dataValidation>
  </dataValidations>
  <pageMargins left="0.23622047244094491" right="0.23622047244094491" top="0.74803149606299213" bottom="0.74803149606299213" header="0.31496062992125984" footer="0.31496062992125984"/>
  <pageSetup paperSize="9" scale="72" fitToWidth="2" orientation="portrait" r:id="rId1"/>
  <colBreaks count="1" manualBreakCount="1">
    <brk id="8" max="41"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1000000}">
          <x14:formula1>
            <xm:f>リストボックス!$G$2:$G$3</xm:f>
          </x14:formula1>
          <xm:sqref>E33:F33</xm:sqref>
        </x14:dataValidation>
        <x14:dataValidation type="list" allowBlank="1" showInputMessage="1" showErrorMessage="1" xr:uid="{00000000-0002-0000-0100-000002000000}">
          <x14:formula1>
            <xm:f>リストボックス!$A$2:$A$4</xm:f>
          </x14:formula1>
          <xm:sqref>E11</xm:sqref>
        </x14:dataValidation>
        <x14:dataValidation type="list" allowBlank="1" showInputMessage="1" showErrorMessage="1" xr:uid="{00000000-0002-0000-0100-000003000000}">
          <x14:formula1>
            <xm:f>リストボックス!$AB$2:$AB$3</xm:f>
          </x14:formula1>
          <xm:sqref>G8</xm:sqref>
        </x14:dataValidation>
        <x14:dataValidation type="list" allowBlank="1" showInputMessage="1" showErrorMessage="1" xr:uid="{00000000-0002-0000-0100-000004000000}">
          <x14:formula1>
            <xm:f>リストボックス!$Z$2:$Z$3</xm:f>
          </x14:formula1>
          <xm:sqref>G12</xm:sqref>
        </x14:dataValidation>
        <x14:dataValidation type="list" allowBlank="1" showInputMessage="1" showErrorMessage="1" xr:uid="{00000000-0002-0000-0100-000005000000}">
          <x14:formula1>
            <xm:f>リストボックス!$W$2:$W$3</xm:f>
          </x14:formula1>
          <xm:sqref>G13</xm:sqref>
        </x14:dataValidation>
        <x14:dataValidation type="list" allowBlank="1" showInputMessage="1" showErrorMessage="1" xr:uid="{00000000-0002-0000-0100-000006000000}">
          <x14:formula1>
            <xm:f>リストボックス!$U$2:$U$3</xm:f>
          </x14:formula1>
          <xm:sqref>G9</xm:sqref>
        </x14:dataValidation>
        <x14:dataValidation type="list" allowBlank="1" showInputMessage="1" showErrorMessage="1" xr:uid="{00000000-0002-0000-0100-000007000000}">
          <x14:formula1>
            <xm:f>リストボックス!$S$2:$S$4</xm:f>
          </x14:formula1>
          <xm:sqref>G11</xm:sqref>
        </x14:dataValidation>
        <x14:dataValidation type="list" allowBlank="1" showInputMessage="1" showErrorMessage="1" xr:uid="{00000000-0002-0000-0100-000008000000}">
          <x14:formula1>
            <xm:f>リストボックス!$Q$2:$Q$3</xm:f>
          </x14:formula1>
          <xm:sqref>G10</xm:sqref>
        </x14:dataValidation>
        <x14:dataValidation type="list" allowBlank="1" showInputMessage="1" showErrorMessage="1" xr:uid="{00000000-0002-0000-0100-000009000000}">
          <x14:formula1>
            <xm:f>リストボックス!$O$2:$O$5</xm:f>
          </x14:formula1>
          <xm:sqref>E10</xm:sqref>
        </x14:dataValidation>
        <x14:dataValidation type="list" allowBlank="1" showInputMessage="1" showErrorMessage="1" xr:uid="{00000000-0002-0000-0100-00000A000000}">
          <x14:formula1>
            <xm:f>リストボックス!$C$2:$C$5</xm:f>
          </x14:formula1>
          <xm:sqref>E9</xm:sqref>
        </x14:dataValidation>
        <x14:dataValidation type="list" allowBlank="1" showInputMessage="1" showErrorMessage="1" xr:uid="{00000000-0002-0000-0100-00000C000000}">
          <x14:formula1>
            <xm:f>リストボックス!$AD$2:$AD$3</xm:f>
          </x14:formula1>
          <xm:sqref>E13</xm:sqref>
        </x14:dataValidation>
        <x14:dataValidation type="list" allowBlank="1" showInputMessage="1" showErrorMessage="1" xr:uid="{F1419FCA-2A1D-49D6-891D-EDA6471C2C93}">
          <x14:formula1>
            <xm:f>リストボックス!$M$2:$M$4</xm:f>
          </x14:formula1>
          <xm:sqref>F20</xm:sqref>
        </x14:dataValidation>
        <x14:dataValidation type="list" allowBlank="1" showInputMessage="1" showErrorMessage="1" xr:uid="{EB854FF4-DF32-4953-981D-85ECA47DD994}">
          <x14:formula1>
            <xm:f>リストボックス!$K$2:$K$5</xm:f>
          </x14:formula1>
          <xm:sqref>F19</xm:sqref>
        </x14:dataValidation>
        <x14:dataValidation type="list" allowBlank="1" showInputMessage="1" showErrorMessage="1" xr:uid="{CB7EC47B-0D76-4E17-BFA4-A2AA031B81DF}">
          <x14:formula1>
            <xm:f>リストボックス!$I$2:$I$5</xm:f>
          </x14:formula1>
          <xm:sqref>F24</xm:sqref>
        </x14:dataValidation>
        <x14:dataValidation type="list" allowBlank="1" showInputMessage="1" showErrorMessage="1" xr:uid="{E54A425B-E2A9-4085-B50F-0A7517725076}">
          <x14:formula1>
            <xm:f>リストボックス!$E$2:$E$3</xm:f>
          </x14:formula1>
          <xm:sqref>F22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topLeftCell="P1" workbookViewId="0">
      <selection activeCell="J25" sqref="J25:V42"/>
    </sheetView>
  </sheetViews>
  <sheetFormatPr defaultRowHeight="13.2" x14ac:dyDescent="0.2"/>
  <cols>
    <col min="21" max="21" width="14.44140625" customWidth="1"/>
  </cols>
  <sheetData>
    <row r="1" spans="1:31" x14ac:dyDescent="0.2">
      <c r="A1" t="s">
        <v>19</v>
      </c>
      <c r="B1" t="s">
        <v>36</v>
      </c>
      <c r="C1" t="s">
        <v>14</v>
      </c>
      <c r="D1" t="s">
        <v>36</v>
      </c>
      <c r="E1" t="s">
        <v>6</v>
      </c>
      <c r="F1" t="s">
        <v>36</v>
      </c>
      <c r="G1" t="s">
        <v>15</v>
      </c>
      <c r="H1" t="s">
        <v>36</v>
      </c>
      <c r="I1" t="s">
        <v>2</v>
      </c>
      <c r="J1" t="s">
        <v>36</v>
      </c>
      <c r="K1" t="s">
        <v>16</v>
      </c>
      <c r="L1" t="s">
        <v>36</v>
      </c>
      <c r="M1" t="s">
        <v>18</v>
      </c>
      <c r="N1" t="s">
        <v>36</v>
      </c>
      <c r="O1" t="s">
        <v>92</v>
      </c>
      <c r="P1" t="s">
        <v>93</v>
      </c>
      <c r="Q1" t="s">
        <v>96</v>
      </c>
      <c r="R1" t="s">
        <v>36</v>
      </c>
      <c r="S1" t="s">
        <v>105</v>
      </c>
      <c r="T1" t="s">
        <v>106</v>
      </c>
      <c r="U1" t="s">
        <v>142</v>
      </c>
      <c r="W1" t="s">
        <v>120</v>
      </c>
      <c r="Y1" t="s">
        <v>129</v>
      </c>
      <c r="Z1" t="s">
        <v>130</v>
      </c>
      <c r="AB1" t="s">
        <v>139</v>
      </c>
      <c r="AD1" t="s">
        <v>166</v>
      </c>
    </row>
    <row r="2" spans="1:31" x14ac:dyDescent="0.2">
      <c r="A2">
        <v>2</v>
      </c>
      <c r="B2">
        <v>1</v>
      </c>
      <c r="C2" t="s">
        <v>38</v>
      </c>
      <c r="D2">
        <v>1</v>
      </c>
      <c r="E2" t="s">
        <v>41</v>
      </c>
      <c r="F2">
        <v>0</v>
      </c>
      <c r="G2" t="s">
        <v>43</v>
      </c>
      <c r="H2">
        <v>0</v>
      </c>
      <c r="I2" t="s">
        <v>45</v>
      </c>
      <c r="J2">
        <v>0</v>
      </c>
      <c r="K2" t="s">
        <v>45</v>
      </c>
      <c r="L2">
        <v>0</v>
      </c>
      <c r="M2" t="s">
        <v>45</v>
      </c>
      <c r="N2">
        <v>0</v>
      </c>
      <c r="O2" t="s">
        <v>94</v>
      </c>
      <c r="P2">
        <v>1</v>
      </c>
      <c r="Q2" t="s">
        <v>98</v>
      </c>
      <c r="R2">
        <v>1</v>
      </c>
      <c r="S2" t="s">
        <v>108</v>
      </c>
      <c r="T2">
        <v>1</v>
      </c>
      <c r="U2" t="s">
        <v>143</v>
      </c>
      <c r="V2">
        <v>1</v>
      </c>
      <c r="W2" t="s">
        <v>121</v>
      </c>
      <c r="X2">
        <v>1</v>
      </c>
      <c r="Y2">
        <v>2019</v>
      </c>
      <c r="Z2" t="s">
        <v>131</v>
      </c>
      <c r="AA2">
        <v>1</v>
      </c>
      <c r="AB2" t="s">
        <v>140</v>
      </c>
      <c r="AC2">
        <v>1</v>
      </c>
      <c r="AD2" t="s">
        <v>167</v>
      </c>
      <c r="AE2">
        <v>1</v>
      </c>
    </row>
    <row r="3" spans="1:31" x14ac:dyDescent="0.2">
      <c r="A3">
        <v>1</v>
      </c>
      <c r="B3">
        <v>2</v>
      </c>
      <c r="C3" t="s">
        <v>39</v>
      </c>
      <c r="D3">
        <v>3</v>
      </c>
      <c r="E3" t="s">
        <v>42</v>
      </c>
      <c r="F3">
        <v>1</v>
      </c>
      <c r="G3" t="s">
        <v>44</v>
      </c>
      <c r="H3">
        <v>1</v>
      </c>
      <c r="I3" t="s">
        <v>46</v>
      </c>
      <c r="J3">
        <v>1</v>
      </c>
      <c r="K3" t="s">
        <v>49</v>
      </c>
      <c r="L3">
        <v>1</v>
      </c>
      <c r="M3" t="s">
        <v>171</v>
      </c>
      <c r="N3">
        <v>1</v>
      </c>
      <c r="O3" t="s">
        <v>95</v>
      </c>
      <c r="P3">
        <v>2</v>
      </c>
      <c r="Q3" t="s">
        <v>99</v>
      </c>
      <c r="R3">
        <v>2</v>
      </c>
      <c r="S3" t="s">
        <v>109</v>
      </c>
      <c r="T3">
        <v>2</v>
      </c>
      <c r="U3" t="s">
        <v>144</v>
      </c>
      <c r="V3">
        <v>2</v>
      </c>
      <c r="W3" t="s">
        <v>122</v>
      </c>
      <c r="X3">
        <v>2</v>
      </c>
      <c r="Y3">
        <v>2020</v>
      </c>
      <c r="Z3" t="s">
        <v>132</v>
      </c>
      <c r="AA3">
        <v>2</v>
      </c>
      <c r="AB3" t="s">
        <v>141</v>
      </c>
      <c r="AC3">
        <v>2</v>
      </c>
      <c r="AD3" t="s">
        <v>168</v>
      </c>
      <c r="AE3">
        <v>2</v>
      </c>
    </row>
    <row r="4" spans="1:31" x14ac:dyDescent="0.2">
      <c r="A4" t="s">
        <v>37</v>
      </c>
      <c r="B4">
        <v>3</v>
      </c>
      <c r="C4" t="s">
        <v>40</v>
      </c>
      <c r="D4">
        <v>4</v>
      </c>
      <c r="I4" t="s">
        <v>47</v>
      </c>
      <c r="J4">
        <v>2</v>
      </c>
      <c r="K4" t="s">
        <v>50</v>
      </c>
      <c r="L4">
        <v>2</v>
      </c>
      <c r="M4" t="s">
        <v>76</v>
      </c>
      <c r="N4">
        <v>4</v>
      </c>
      <c r="O4" t="s">
        <v>97</v>
      </c>
      <c r="P4">
        <v>3</v>
      </c>
      <c r="S4" t="s">
        <v>107</v>
      </c>
      <c r="T4">
        <v>0</v>
      </c>
      <c r="Y4">
        <v>2021</v>
      </c>
    </row>
    <row r="5" spans="1:31" x14ac:dyDescent="0.2">
      <c r="C5" t="s">
        <v>67</v>
      </c>
      <c r="D5">
        <v>5</v>
      </c>
      <c r="I5" t="s">
        <v>48</v>
      </c>
      <c r="J5">
        <v>3</v>
      </c>
      <c r="K5" t="s">
        <v>51</v>
      </c>
      <c r="L5">
        <v>3</v>
      </c>
      <c r="M5" t="s">
        <v>52</v>
      </c>
      <c r="N5">
        <v>2</v>
      </c>
      <c r="O5" t="str">
        <f>IF(計算シート!$B$51=0,"給付奨学金","")</f>
        <v>給付奨学金</v>
      </c>
      <c r="P5">
        <v>4</v>
      </c>
      <c r="Y5">
        <v>2022</v>
      </c>
    </row>
    <row r="6" spans="1:31" x14ac:dyDescent="0.2">
      <c r="C6" t="s">
        <v>158</v>
      </c>
      <c r="D6">
        <v>6</v>
      </c>
      <c r="M6" t="s">
        <v>53</v>
      </c>
      <c r="N6">
        <v>3</v>
      </c>
      <c r="Y6">
        <v>2023</v>
      </c>
    </row>
    <row r="7" spans="1:31" x14ac:dyDescent="0.2">
      <c r="C7" t="s">
        <v>159</v>
      </c>
      <c r="D7">
        <v>7</v>
      </c>
      <c r="Y7">
        <v>2024</v>
      </c>
    </row>
    <row r="8" spans="1:31" x14ac:dyDescent="0.2">
      <c r="C8" t="s">
        <v>160</v>
      </c>
      <c r="D8">
        <v>8</v>
      </c>
      <c r="Y8">
        <v>2025</v>
      </c>
    </row>
    <row r="9" spans="1:31" x14ac:dyDescent="0.2">
      <c r="C9" t="s">
        <v>75</v>
      </c>
      <c r="D9">
        <v>2</v>
      </c>
      <c r="Y9">
        <v>2026</v>
      </c>
    </row>
    <row r="10" spans="1:31" x14ac:dyDescent="0.2">
      <c r="Y10">
        <v>2027</v>
      </c>
    </row>
    <row r="11" spans="1:31" x14ac:dyDescent="0.2">
      <c r="Y11">
        <v>2028</v>
      </c>
    </row>
    <row r="12" spans="1:31" x14ac:dyDescent="0.2">
      <c r="Y12">
        <v>2029</v>
      </c>
    </row>
    <row r="13" spans="1:31" x14ac:dyDescent="0.2">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7"/>
  <sheetViews>
    <sheetView topLeftCell="A19" workbookViewId="0">
      <selection activeCell="J25" sqref="J25:V42"/>
    </sheetView>
  </sheetViews>
  <sheetFormatPr defaultRowHeight="13.2" x14ac:dyDescent="0.2"/>
  <cols>
    <col min="1" max="1" width="32.88671875" bestFit="1" customWidth="1"/>
    <col min="2" max="3" width="12.33203125" bestFit="1" customWidth="1"/>
    <col min="4" max="4" width="14.44140625" customWidth="1"/>
  </cols>
  <sheetData>
    <row r="1" spans="1:5" x14ac:dyDescent="0.2">
      <c r="A1" s="49"/>
      <c r="B1" s="49" t="s">
        <v>9</v>
      </c>
      <c r="C1" s="49" t="s">
        <v>10</v>
      </c>
      <c r="D1" s="49" t="s">
        <v>13</v>
      </c>
      <c r="E1" t="s">
        <v>126</v>
      </c>
    </row>
    <row r="2" spans="1:5" x14ac:dyDescent="0.2">
      <c r="A2" s="49" t="s">
        <v>32</v>
      </c>
      <c r="B2" s="49">
        <f>IF($B$51=0,VLOOKUP(入力シート!$E$11,リストボックス!$A$1:$B$4,2,0),1)</f>
        <v>1</v>
      </c>
      <c r="C2" s="49"/>
      <c r="D2" s="49"/>
      <c r="E2" s="49"/>
    </row>
    <row r="3" spans="1:5" x14ac:dyDescent="0.2">
      <c r="A3" s="49" t="s">
        <v>30</v>
      </c>
      <c r="B3" s="49">
        <f>VLOOKUP(入力シート!E9,リストボックス!C2:D9,2,0)</f>
        <v>3</v>
      </c>
      <c r="C3" s="49"/>
      <c r="D3" s="49"/>
      <c r="E3" s="49"/>
    </row>
    <row r="4" spans="1:5" x14ac:dyDescent="0.2">
      <c r="A4" s="59" t="s">
        <v>103</v>
      </c>
      <c r="B4" s="49">
        <f>VLOOKUP(入力シート!E10,リストボックス!O1:P5,2,0)</f>
        <v>4</v>
      </c>
      <c r="C4" s="49"/>
      <c r="D4" s="49"/>
      <c r="E4" s="49"/>
    </row>
    <row r="5" spans="1:5" x14ac:dyDescent="0.2">
      <c r="A5" s="59" t="s">
        <v>104</v>
      </c>
      <c r="B5" s="49">
        <f>IFERROR(VLOOKUP(入力シート!G10,リストボックス!Q1:R3,2,0),0)</f>
        <v>1</v>
      </c>
      <c r="C5" s="49"/>
      <c r="D5" s="49"/>
      <c r="E5" s="49"/>
    </row>
    <row r="6" spans="1:5" x14ac:dyDescent="0.2">
      <c r="A6" s="59" t="s">
        <v>110</v>
      </c>
      <c r="B6" s="49">
        <f>IFERROR(VLOOKUP(入力シート!G11,リストボックス!S1:T4,2,0),0)</f>
        <v>1</v>
      </c>
      <c r="C6" s="49"/>
      <c r="D6" s="49"/>
      <c r="E6" s="49"/>
    </row>
    <row r="7" spans="1:5" x14ac:dyDescent="0.2">
      <c r="A7" s="49" t="s">
        <v>54</v>
      </c>
      <c r="B7" s="101">
        <f>DATE(入力シート!E8,4,1)</f>
        <v>46113</v>
      </c>
      <c r="C7" s="49"/>
      <c r="D7" s="49"/>
      <c r="E7" s="49"/>
    </row>
    <row r="8" spans="1:5" x14ac:dyDescent="0.2">
      <c r="A8" s="49" t="s">
        <v>20</v>
      </c>
      <c r="B8" s="101">
        <f>IF(OR(B3=3,B3=7),DATE(YEAR(B7)-1,1,1),DATE(YEAR(B7),1,1))</f>
        <v>45658</v>
      </c>
      <c r="C8" s="49"/>
      <c r="D8" s="49"/>
      <c r="E8" s="49"/>
    </row>
    <row r="9" spans="1:5" x14ac:dyDescent="0.2">
      <c r="A9" s="49" t="s">
        <v>12</v>
      </c>
      <c r="B9" s="49">
        <f>DATEDIF(入力シート!E21,$B$8,"y")</f>
        <v>125</v>
      </c>
      <c r="C9" s="49">
        <f>DATEDIF(入力シート!F21,$B$8,"y")</f>
        <v>125</v>
      </c>
      <c r="D9" s="49">
        <f>DATEDIF(入力シート!G21,$B$8,"y")</f>
        <v>125</v>
      </c>
      <c r="E9" s="49"/>
    </row>
    <row r="10" spans="1:5" x14ac:dyDescent="0.2">
      <c r="A10" s="49" t="s">
        <v>6</v>
      </c>
      <c r="B10" s="49">
        <f>VLOOKUP(入力シート!E22,リストボックス!$E$1:$F$3,2,0)</f>
        <v>0</v>
      </c>
      <c r="C10" s="49">
        <f>VLOOKUP(入力シート!F22,リストボックス!$E$1:$F$3,2,0)</f>
        <v>0</v>
      </c>
      <c r="D10" s="49">
        <f>VLOOKUP(入力シート!G22,リストボックス!$E$1:$F$3,2,0)</f>
        <v>0</v>
      </c>
      <c r="E10" s="49"/>
    </row>
    <row r="11" spans="1:5" x14ac:dyDescent="0.2">
      <c r="A11" s="49" t="s">
        <v>21</v>
      </c>
      <c r="B11" s="49">
        <f>VLOOKUP(入力シート!E33,リストボックス!$G$1:$H$3,2,0)</f>
        <v>1</v>
      </c>
      <c r="C11" s="49">
        <f>VLOOKUP(入力シート!F33,リストボックス!$G$1:$H$3,2,0)</f>
        <v>0</v>
      </c>
      <c r="D11" s="49">
        <f>VLOOKUP(入力シート!G33,リストボックス!$G$1:$H$3,2,0)</f>
        <v>0</v>
      </c>
      <c r="E11" s="49"/>
    </row>
    <row r="12" spans="1:5" x14ac:dyDescent="0.2">
      <c r="A12" s="49" t="s">
        <v>0</v>
      </c>
      <c r="B12" s="49">
        <f>入力シート!E18</f>
        <v>0</v>
      </c>
      <c r="C12" s="49">
        <f>入力シート!F18</f>
        <v>0</v>
      </c>
      <c r="D12" s="49">
        <f>入力シート!G18</f>
        <v>0</v>
      </c>
      <c r="E12" s="49"/>
    </row>
    <row r="13" spans="1:5" x14ac:dyDescent="0.2">
      <c r="A13" s="49" t="s">
        <v>1</v>
      </c>
      <c r="B13" s="49">
        <f>入力シート!E18-入力シート!E23</f>
        <v>0</v>
      </c>
      <c r="C13" s="49">
        <f>入力シート!F18-入力シート!F23</f>
        <v>0</v>
      </c>
      <c r="D13" s="49">
        <f>入力シート!G18-入力シート!G23</f>
        <v>0</v>
      </c>
      <c r="E13" s="49"/>
    </row>
    <row r="14" spans="1:5" x14ac:dyDescent="0.2">
      <c r="A14" s="49" t="s">
        <v>22</v>
      </c>
      <c r="B14" s="49">
        <f>IF(VLOOKUP(入力シート!E24,リストボックス!$I$1:$J$5,2,0)&gt;0,1,0)</f>
        <v>1</v>
      </c>
      <c r="C14" s="49">
        <f>IF(VLOOKUP(入力シート!F24,リストボックス!$I$1:$J$5,2,0)&gt;0,1,0)</f>
        <v>0</v>
      </c>
      <c r="D14" s="49">
        <f>IF(VLOOKUP(入力シート!G24,リストボックス!$I$1:$J$5,2,0)&gt;0,1,0)</f>
        <v>0</v>
      </c>
      <c r="E14" s="49"/>
    </row>
    <row r="15" spans="1:5" x14ac:dyDescent="0.2">
      <c r="A15" s="49" t="s">
        <v>23</v>
      </c>
      <c r="B15" s="49">
        <f>SUM(B14,入力シート!E25:E28)</f>
        <v>1</v>
      </c>
      <c r="C15" s="49">
        <f>SUM(C14,入力シート!F25:F28)</f>
        <v>0</v>
      </c>
      <c r="D15" s="49">
        <f>SUM(D14,入力シート!G25:G28)</f>
        <v>0</v>
      </c>
      <c r="E15" s="49"/>
    </row>
    <row r="16" spans="1:5" x14ac:dyDescent="0.2">
      <c r="A16" s="49" t="s">
        <v>24</v>
      </c>
      <c r="B16" s="99">
        <f>350000*(1+B15)+IF(B15&gt;0,320000,0)+100000</f>
        <v>1120000</v>
      </c>
      <c r="C16" s="99">
        <f>350000*(1+C15)+IF(C15&gt;0,320000,0)+100000</f>
        <v>450000</v>
      </c>
      <c r="D16" s="99">
        <f>350000*(1+D15)+IF(D15&gt;0,320000,0)+100000</f>
        <v>450000</v>
      </c>
      <c r="E16" s="99" t="s">
        <v>177</v>
      </c>
    </row>
    <row r="17" spans="1:5" x14ac:dyDescent="0.2">
      <c r="A17" s="49" t="s">
        <v>25</v>
      </c>
      <c r="B17" s="49">
        <f>VLOOKUP(入力シート!E19,リストボックス!$K$1:$L$5,2,0)</f>
        <v>0</v>
      </c>
      <c r="C17" s="49">
        <f>VLOOKUP(入力シート!F19,リストボックス!$K$1:$L$5,2,0)</f>
        <v>0</v>
      </c>
      <c r="D17" s="49">
        <f>VLOOKUP(入力シート!G19,リストボックス!$K$1:$L$5,2,0)</f>
        <v>0</v>
      </c>
      <c r="E17" s="49"/>
    </row>
    <row r="18" spans="1:5" x14ac:dyDescent="0.2">
      <c r="A18" s="49" t="s">
        <v>26</v>
      </c>
      <c r="B18" s="49">
        <f>VLOOKUP(入力シート!E20,リストボックス!$M$1:$N$4,2,0)</f>
        <v>0</v>
      </c>
      <c r="C18" s="49">
        <f>VLOOKUP(入力シート!F20,リストボックス!$M$1:$N$4,2,0)</f>
        <v>0</v>
      </c>
      <c r="D18" s="49">
        <f>VLOOKUP(入力シート!G20,リストボックス!$M$1:$N$4,2,0)</f>
        <v>0</v>
      </c>
      <c r="E18" s="49"/>
    </row>
    <row r="19" spans="1:5" x14ac:dyDescent="0.2">
      <c r="A19" s="49" t="s">
        <v>27</v>
      </c>
      <c r="B19" s="49">
        <f>IF(YEAR(B8)&gt;2022,IF(B9&lt;18,1,0),IF(B9&lt;20,1,0))</f>
        <v>0</v>
      </c>
      <c r="C19" s="49">
        <f>IF(YEAR(B8)&gt;2022,IF(C9&lt;18,1,0),IF(C9&lt;20,1,0))</f>
        <v>0</v>
      </c>
      <c r="D19" s="49">
        <f>IF(YEAR(B8)&gt;2022,IF(D9&lt;18,1,0),IF(D9&lt;20,1,0))</f>
        <v>0</v>
      </c>
      <c r="E19" s="49"/>
    </row>
    <row r="20" spans="1:5" x14ac:dyDescent="0.2">
      <c r="A20" s="49" t="s">
        <v>28</v>
      </c>
      <c r="B20" s="99">
        <f>IF(SUM(B17:B19)&gt;0,1350000,0)</f>
        <v>0</v>
      </c>
      <c r="C20" s="99">
        <f>IF(SUM(C17:C19)&gt;0,1350000,0)</f>
        <v>0</v>
      </c>
      <c r="D20" s="99">
        <f>IF(SUM(D17:D19)&gt;0,1350000,0)</f>
        <v>0</v>
      </c>
      <c r="E20" s="99" t="s">
        <v>177</v>
      </c>
    </row>
    <row r="21" spans="1:5" x14ac:dyDescent="0.2">
      <c r="A21" s="49" t="s">
        <v>29</v>
      </c>
      <c r="B21" s="49">
        <f>入力シート!E30</f>
        <v>0</v>
      </c>
      <c r="C21" s="49">
        <f>入力シート!F30</f>
        <v>0</v>
      </c>
      <c r="D21" s="49">
        <f>入力シート!G30</f>
        <v>0</v>
      </c>
      <c r="E21" s="49"/>
    </row>
    <row r="22" spans="1:5" x14ac:dyDescent="0.2">
      <c r="A22" s="49" t="s">
        <v>87</v>
      </c>
      <c r="B22" s="49">
        <f>SUM(入力シート!E31)*IF(B11=1,3/4,1)</f>
        <v>0</v>
      </c>
      <c r="C22" s="49">
        <f>SUM(入力シート!F31)*IF(C11=1,3/4,1)</f>
        <v>0</v>
      </c>
      <c r="D22" s="49">
        <f>SUM(入力シート!G31)*IF(D11=1,3/4,1)</f>
        <v>0</v>
      </c>
      <c r="E22" s="49"/>
    </row>
    <row r="23" spans="1:5" x14ac:dyDescent="0.2">
      <c r="A23" s="59" t="s">
        <v>114</v>
      </c>
      <c r="B23" s="49">
        <f>SUM(入力シート!E32)*IF(B11=1,3/4,1)</f>
        <v>0</v>
      </c>
      <c r="C23" s="49">
        <f>SUM(入力シート!F32)*IF(C11=1,3/4,1)</f>
        <v>0</v>
      </c>
      <c r="D23" s="49">
        <f>SUM(入力シート!G32)*IF(D11=1,3/4,1)</f>
        <v>0</v>
      </c>
      <c r="E23" s="49"/>
    </row>
    <row r="24" spans="1:5" x14ac:dyDescent="0.2">
      <c r="A24" s="49" t="s">
        <v>33</v>
      </c>
      <c r="B24" s="49">
        <f>IF(OR(B10=1,B12&lt;=B20,B13&lt;=B16),1,0)</f>
        <v>1</v>
      </c>
      <c r="C24" s="49">
        <f>IF(OR(C10=1,C12&lt;=C20,C13&lt;=C16),1,0)</f>
        <v>1</v>
      </c>
      <c r="D24" s="49">
        <f>IF(OR(D10=1,D12&lt;=D20,D13&lt;=D16),1,0)</f>
        <v>1</v>
      </c>
      <c r="E24" s="49"/>
    </row>
    <row r="25" spans="1:5" x14ac:dyDescent="0.2">
      <c r="A25" s="59" t="s">
        <v>116</v>
      </c>
      <c r="B25" s="49">
        <f>MAX(0,IF(B2=3,0,IF(B24=1,0,ROUNDDOWN(B21*0.06-B22-B23,-2))))</f>
        <v>0</v>
      </c>
      <c r="C25" s="49">
        <f>MAX(0,IF(B2=1,IF(C24=1,0,ROUNDDOWN(C21*0.06-C22-C23,-2)),0))</f>
        <v>0</v>
      </c>
      <c r="D25" s="49">
        <f>MAX(0,IF(D24=1,0,ROUNDDOWN(D21*0.06-D22-D23,-2)))</f>
        <v>0</v>
      </c>
      <c r="E25" s="49" t="s">
        <v>127</v>
      </c>
    </row>
    <row r="26" spans="1:5" x14ac:dyDescent="0.2">
      <c r="A26" s="49" t="s">
        <v>115</v>
      </c>
      <c r="B26" s="59">
        <f>MAX(0,IF(B2=3,0,IF(B24=1,0,ROUNDDOWN(B21*0.06-B22,-2))))</f>
        <v>0</v>
      </c>
      <c r="C26" s="59">
        <f>MAX(0,IF(B2=1,IF(C24=1,0,ROUNDDOWN(C21*0.06-C22,-2)),0))</f>
        <v>0</v>
      </c>
      <c r="D26" s="49">
        <f>MAX(0,IF(D24=1,0,ROUNDDOWN(D21*0.06-D22,-2)))</f>
        <v>0</v>
      </c>
      <c r="E26" s="49"/>
    </row>
    <row r="27" spans="1:5" x14ac:dyDescent="0.2">
      <c r="A27" s="49" t="s">
        <v>74</v>
      </c>
      <c r="B27" s="99">
        <f>IF(入力シート!E8&lt;2026,0,IF(AND(入力シート!E8=2026,OR(B3=3,B3=7)),0,1))</f>
        <v>0</v>
      </c>
      <c r="C27" s="49"/>
      <c r="D27" s="49"/>
      <c r="E27" s="99" t="s">
        <v>176</v>
      </c>
    </row>
    <row r="28" spans="1:5" x14ac:dyDescent="0.2">
      <c r="A28" s="49" t="s">
        <v>77</v>
      </c>
      <c r="B28" s="59">
        <f>IF(YEAR(B8)&gt;2021,1,0)</f>
        <v>1</v>
      </c>
      <c r="C28" s="49"/>
      <c r="D28" s="49"/>
      <c r="E28" s="49" t="s">
        <v>82</v>
      </c>
    </row>
    <row r="29" spans="1:5" x14ac:dyDescent="0.2">
      <c r="A29" s="49" t="s">
        <v>81</v>
      </c>
      <c r="B29" s="49">
        <f>DATEDIF(入力シート!G21,$B$8-1,"y")</f>
        <v>124</v>
      </c>
      <c r="C29" s="49"/>
      <c r="D29" s="49"/>
      <c r="E29" s="49"/>
    </row>
    <row r="30" spans="1:5" x14ac:dyDescent="0.2">
      <c r="A30" s="49" t="s">
        <v>80</v>
      </c>
      <c r="B30" s="59">
        <f>IFERROR(VALUE(TEXT(MONTH(入力シート!G21),"00")&amp;TEXT(DAY(入力シート!G21),"00")),1000)</f>
        <v>100</v>
      </c>
      <c r="C30" s="49"/>
      <c r="D30" s="49"/>
      <c r="E30" s="49"/>
    </row>
    <row r="31" spans="1:5" x14ac:dyDescent="0.2">
      <c r="A31" s="59" t="s">
        <v>79</v>
      </c>
      <c r="B31" s="59">
        <f>IF(計算シート!$B$51=0,IFERROR(IF(AND(B28=1,B29=18,B30&gt;101,B30&lt;=401),1,0),0),0)</f>
        <v>0</v>
      </c>
      <c r="C31" s="59"/>
      <c r="D31" s="49"/>
      <c r="E31" s="49"/>
    </row>
    <row r="32" spans="1:5" x14ac:dyDescent="0.2">
      <c r="A32" s="59" t="s">
        <v>78</v>
      </c>
      <c r="B32" s="61">
        <f>IF(AND($B$31=1,SUM(入力シート!E25)&gt;0,IF(SUM(入力シート!F25)&gt;0,IF(B26&gt;=C26,1,0),1)&gt;0,IF(B27=1,D12&lt;=580000,D12&lt;=480000)),7200,0)</f>
        <v>0</v>
      </c>
      <c r="C32" s="61">
        <f>IF(AND($B$31=1,SUM(入力シート!F25)&gt;0,IF(SUM(入力シート!E25)&gt;0,IF(B26&lt;C26,1,0),1)&gt;0,IF(B27=1,D12&lt;=580000,D12&lt;=480000)),7200,0)</f>
        <v>0</v>
      </c>
      <c r="D32" s="49"/>
      <c r="E32" s="99" t="s">
        <v>194</v>
      </c>
    </row>
    <row r="33" spans="1:5" x14ac:dyDescent="0.2">
      <c r="A33" s="61" t="s">
        <v>192</v>
      </c>
      <c r="B33" s="114">
        <f>IF(B27=0,0,IF(B26&gt;=C26,計算シート２!B5*0.06,0))</f>
        <v>0</v>
      </c>
      <c r="C33" s="61">
        <f>IF(B27=0,0,IF(B26&lt;C26,計算シート２!B5*0.06,0))</f>
        <v>0</v>
      </c>
      <c r="D33" s="49"/>
      <c r="E33" s="99" t="s">
        <v>193</v>
      </c>
    </row>
    <row r="34" spans="1:5" x14ac:dyDescent="0.2">
      <c r="A34" s="59" t="s">
        <v>117</v>
      </c>
      <c r="B34" s="61">
        <f>IFERROR(MAX(0,B26-B32-B33),B26)</f>
        <v>0</v>
      </c>
      <c r="C34" s="61">
        <f>IFERROR(MAX(0,C26-C32-C33),C26)</f>
        <v>0</v>
      </c>
      <c r="D34" s="49"/>
      <c r="E34" s="99" t="s">
        <v>195</v>
      </c>
    </row>
    <row r="35" spans="1:5" x14ac:dyDescent="0.2">
      <c r="A35" s="59" t="s">
        <v>118</v>
      </c>
      <c r="B35" s="61">
        <f>IFERROR(MAX(0,B25-B32-B33),B25)</f>
        <v>0</v>
      </c>
      <c r="C35" s="61">
        <f>IFERROR(MAX(0,C25-C32-C33),C25)</f>
        <v>0</v>
      </c>
      <c r="D35" s="49"/>
      <c r="E35" s="99" t="s">
        <v>195</v>
      </c>
    </row>
    <row r="36" spans="1:5" x14ac:dyDescent="0.2">
      <c r="A36" s="59" t="s">
        <v>124</v>
      </c>
      <c r="B36" s="61">
        <f>IF(計算シート!$B$51=0,MIN(入力シート!E12+IF(AND(VLOOKUP(入力シート!G12,リストボックス!Z2:AA3,2,FALSE)=2,OR(AND(B38=1,SUM(B37:C37)&gt;0),B38=2)),1,0),SUM(入力シート!E25:F26,入力シート!E28:F28,IF(OR(AND(B38=1,SUM(B37:C37)&gt;0),B38=2),1,0))),0)</f>
        <v>0</v>
      </c>
      <c r="C36" s="49"/>
      <c r="D36" s="49"/>
      <c r="E36" s="99" t="s">
        <v>185</v>
      </c>
    </row>
    <row r="37" spans="1:5" x14ac:dyDescent="0.2">
      <c r="A37" s="61" t="s">
        <v>180</v>
      </c>
      <c r="B37" s="61">
        <f>ROUNDDOWN(入力シート!E29/450000,0)</f>
        <v>0</v>
      </c>
      <c r="C37" s="61">
        <f>ROUNDDOWN(入力シート!F29/450000,0)</f>
        <v>0</v>
      </c>
      <c r="D37" s="49"/>
      <c r="E37" s="99" t="s">
        <v>182</v>
      </c>
    </row>
    <row r="38" spans="1:5" x14ac:dyDescent="0.2">
      <c r="A38" s="61" t="s">
        <v>181</v>
      </c>
      <c r="B38" s="61">
        <f>IF(B27=1,IF(AND(D12&gt;580000,D12&lt;=950000),IF(AND(D9&gt;=19,D9&lt;23),1,IF(B31=1,2,0)),0),0)</f>
        <v>0</v>
      </c>
      <c r="C38" s="61"/>
      <c r="D38" s="49"/>
      <c r="E38" s="99" t="s">
        <v>183</v>
      </c>
    </row>
    <row r="39" spans="1:5" x14ac:dyDescent="0.2">
      <c r="A39" s="61" t="s">
        <v>179</v>
      </c>
      <c r="B39" s="61">
        <f>IF(AND(VLOOKUP(入力シート!G12,リストボックス!Z2:AA3,2,0)=1,IF(B27=1,D12&lt;=580000,D12&lt;=480000)),1,IF(B38&gt;0,1,0))</f>
        <v>0</v>
      </c>
      <c r="C39" s="49"/>
      <c r="D39" s="49"/>
      <c r="E39" s="99" t="s">
        <v>184</v>
      </c>
    </row>
    <row r="40" spans="1:5" x14ac:dyDescent="0.2">
      <c r="A40" s="61" t="s">
        <v>178</v>
      </c>
      <c r="B40" s="61">
        <f>IF(B36&gt;=3,1,0)</f>
        <v>0</v>
      </c>
      <c r="C40" s="49"/>
      <c r="D40" s="49"/>
      <c r="E40" s="99" t="s">
        <v>186</v>
      </c>
    </row>
    <row r="41" spans="1:5" x14ac:dyDescent="0.2">
      <c r="A41" s="59" t="s">
        <v>88</v>
      </c>
      <c r="B41" s="59">
        <f>IF(計算シート!$B$51=0,IF(AND(B2&gt;1,OR(AND(B2=2,B6&gt;0),SUM(B18:D18)&gt;0)),40000,0),0)</f>
        <v>0</v>
      </c>
      <c r="C41" s="49"/>
      <c r="D41" s="49"/>
      <c r="E41" s="49"/>
    </row>
    <row r="42" spans="1:5" x14ac:dyDescent="0.2">
      <c r="A42" s="59" t="s">
        <v>89</v>
      </c>
      <c r="B42" s="49">
        <f>MAX((B36-2)*40000,0)</f>
        <v>0</v>
      </c>
      <c r="C42" s="49"/>
      <c r="D42" s="49"/>
      <c r="E42" s="49"/>
    </row>
    <row r="43" spans="1:5" x14ac:dyDescent="0.2">
      <c r="A43" s="59" t="s">
        <v>91</v>
      </c>
      <c r="B43" s="59">
        <f>IF(計算シート!$B$51=0,IF(AND(B3&gt;1,VLOOKUP(入力シート!G8,リストボックス!AB2:AC3,2,0)=2,VLOOKUP(入力シート!G9,リストボックス!U2:V5,2,0)=2),22000,0),0)</f>
        <v>22000</v>
      </c>
      <c r="C43" s="49"/>
      <c r="D43" s="49"/>
      <c r="E43" s="49"/>
    </row>
    <row r="44" spans="1:5" x14ac:dyDescent="0.2">
      <c r="A44" s="59" t="s">
        <v>90</v>
      </c>
      <c r="B44" s="49">
        <f>IF(B2&lt;3,MAX(SUM(B34:C34)-SUM(B41:B43),0),MAX(D26-SUM(B41:B43),0))</f>
        <v>0</v>
      </c>
      <c r="C44" s="49"/>
      <c r="D44" s="49"/>
      <c r="E44" s="49"/>
    </row>
    <row r="45" spans="1:5" x14ac:dyDescent="0.2">
      <c r="A45" s="59" t="s">
        <v>100</v>
      </c>
      <c r="B45" s="49">
        <f>IF(B44&lt;=189400,1,0)</f>
        <v>1</v>
      </c>
      <c r="C45" s="49"/>
      <c r="D45" s="49"/>
      <c r="E45" s="49"/>
    </row>
    <row r="46" spans="1:5" x14ac:dyDescent="0.2">
      <c r="A46" s="59" t="s">
        <v>101</v>
      </c>
      <c r="B46" s="49">
        <f>IF(B44&lt;=381500,1,0)</f>
        <v>1</v>
      </c>
      <c r="C46" s="49"/>
      <c r="D46" s="49"/>
      <c r="E46" s="49"/>
    </row>
    <row r="47" spans="1:5" x14ac:dyDescent="0.2">
      <c r="A47" s="59" t="s">
        <v>102</v>
      </c>
      <c r="B47" s="49">
        <f>IF(B44&lt;=164600,1,0)</f>
        <v>1</v>
      </c>
      <c r="C47" s="49"/>
      <c r="D47" s="49"/>
      <c r="E47" s="49"/>
    </row>
    <row r="48" spans="1:5" x14ac:dyDescent="0.2">
      <c r="A48" s="59" t="s">
        <v>123</v>
      </c>
      <c r="B48" s="49" t="str">
        <f>IFERROR(IF(B51=0,IF(B4=1,IF(B45=1,"第一種奨学金の家計基準に適格","家計基準不適格"),IF(B4=2,IF(B46=1,"第二種奨学金の家計基準に適格","家計基準不適格"),IF(B4=3,IF(B47=1,"併用の家計基準に適格",IF(B5=1,IF(B45=1,"第一種奨学金の家計基準に適格",IF(B46=1,"第二種奨学金の家計基準に適格","家計基準不適格")),IF(B46=1,"第二種奨学金の家計基準に適格","家計基準不適格"))),""))),IF(B4=1,IF(B52=1,"第一種奨学金の家計基準に適格",IF(B53=1,"第一種奨学金の家計基準△","家計基準不適格")),IF(B4=2,IF(B54=1,"第二種奨学金の家計基準に適格","家計基準不適格"),IF(B4=3,IF(B55=1,"併用の家計基準に適格",IF(B5=1,IF(B52=1,"第一種奨学金の家計基準に適格",IF(B53=1,"第一種奨学金の家計基準△　","")&amp;IF(B54=1,"第二種奨学金の家計基準に適格","家計基準不適格")),IF(B54=1,"第二種奨学金の家計基準に適格","家計基準不適格"))),"")))),"")</f>
        <v/>
      </c>
      <c r="C48" s="49"/>
      <c r="D48" s="49"/>
      <c r="E48" s="49" t="s">
        <v>134</v>
      </c>
    </row>
    <row r="49" spans="1:5" x14ac:dyDescent="0.2">
      <c r="A49" s="49" t="s">
        <v>8</v>
      </c>
      <c r="B49" s="59" t="str">
        <f>IF(B51=1,"申請できません",IF(AND(B3=2,入力シート!E8&gt;=2020),"エラー",IF(入力シート!E8=0,"年度が入力されていません",IF(SUM(B35:C35,D25)&lt;100,"第Ⅰ区分",IF(SUM(B35:C35,D25)&lt;25600,"第Ⅱ区分",IF(SUM(B35:C35,D25)&lt;51300,"第Ⅲ区分",IF(SUM(B35:C35,D25)&lt;154500,"第Ⅳ区分",IF(B57="","対象外",""))))))))</f>
        <v>第Ⅰ区分</v>
      </c>
      <c r="C49" s="49"/>
      <c r="D49" s="49"/>
      <c r="E49" s="49"/>
    </row>
    <row r="50" spans="1:5" x14ac:dyDescent="0.2">
      <c r="A50" s="59" t="s">
        <v>125</v>
      </c>
      <c r="B50" s="61" t="str">
        <f>IF(AND(B49="第Ⅳ区分",B57=""),IF(AND(B56=0,B39=1,B40=1),"（多子世帯）",IF(AND(B3=1,B57=""),"（理工農系進学の場合）",IF(AND(VLOOKUP(入力シート!G13,リストボックス!W2:X3,2,0)=2,VLOOKUP(入力シート!G8,リストボックス!AB2:AC3,2,0)=2),"（理工農系）",IF(B57="","（支援対象外）","")))),"")</f>
        <v/>
      </c>
      <c r="C50" s="49"/>
      <c r="D50" s="49"/>
      <c r="E50" s="99" t="s">
        <v>187</v>
      </c>
    </row>
    <row r="51" spans="1:5" x14ac:dyDescent="0.2">
      <c r="A51" s="59" t="s">
        <v>161</v>
      </c>
      <c r="B51" s="49">
        <f>IF(VLOOKUP(入力シート!E9,リストボックス!C2:D9,2,0)&gt;5,1,0)</f>
        <v>0</v>
      </c>
      <c r="C51" s="49"/>
      <c r="D51" s="49"/>
      <c r="E51" s="49"/>
    </row>
    <row r="52" spans="1:5" x14ac:dyDescent="0.2">
      <c r="A52" s="59" t="s">
        <v>162</v>
      </c>
      <c r="B52" s="49">
        <f>IF(VLOOKUP(入力シート!$E$13,リストボックス!$AD$2:$AE$3,2,0)=1,IF($B$44&lt;=66400,1,0),IF($B$44&lt;=80100,1,0))</f>
        <v>1</v>
      </c>
      <c r="C52" s="49"/>
      <c r="D52" s="49"/>
      <c r="E52" s="49"/>
    </row>
    <row r="53" spans="1:5" x14ac:dyDescent="0.2">
      <c r="A53" s="59" t="s">
        <v>163</v>
      </c>
      <c r="B53" s="49">
        <f>IF(VLOOKUP(入力シート!$E$13,リストボックス!$AD$2:$AE$3,2,0)=1,IF($B$44&lt;=97800,1,0),IF($B$44&lt;=118600,1,0))</f>
        <v>1</v>
      </c>
      <c r="C53" s="49"/>
      <c r="D53" s="49"/>
      <c r="E53" s="49"/>
    </row>
    <row r="54" spans="1:5" x14ac:dyDescent="0.2">
      <c r="A54" s="59" t="s">
        <v>164</v>
      </c>
      <c r="B54" s="49">
        <f>IF(VLOOKUP(入力シート!$E$13,リストボックス!$AD$2:$AE$3,2,0)=1,IF($B$44&lt;=155300,1,0),IF($B$44&lt;=229800,1,0))</f>
        <v>1</v>
      </c>
      <c r="C54" s="49"/>
      <c r="D54" s="49"/>
      <c r="E54" s="49"/>
    </row>
    <row r="55" spans="1:5" x14ac:dyDescent="0.2">
      <c r="A55" s="59" t="s">
        <v>165</v>
      </c>
      <c r="B55" s="49">
        <f>IF(VLOOKUP(入力シート!$E$13,リストボックス!$AD$2:$AE$3,2,0)=1,IF($B$44&lt;=61600,1,0),IF($B$44&lt;=66400,1,0))</f>
        <v>1</v>
      </c>
      <c r="C55" s="49"/>
      <c r="D55" s="49"/>
      <c r="E55" s="49"/>
    </row>
    <row r="56" spans="1:5" x14ac:dyDescent="0.2">
      <c r="A56" s="59" t="s">
        <v>170</v>
      </c>
      <c r="B56" s="61">
        <v>1</v>
      </c>
      <c r="C56" s="49"/>
      <c r="D56" s="49"/>
      <c r="E56" s="99" t="s">
        <v>196</v>
      </c>
    </row>
    <row r="57" spans="1:5" x14ac:dyDescent="0.2">
      <c r="A57" s="59" t="s">
        <v>169</v>
      </c>
      <c r="B57" s="99" t="str">
        <f>IF(B56=1,IF(AND(B39=1,B40=1),"　多子世帯",""),"")</f>
        <v/>
      </c>
      <c r="E57" s="99" t="s">
        <v>187</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B0CAF-BB60-4A9F-A8B8-0758D13950EC}">
  <dimension ref="A1:G9"/>
  <sheetViews>
    <sheetView workbookViewId="0">
      <selection activeCell="J25" sqref="J25:V42"/>
    </sheetView>
  </sheetViews>
  <sheetFormatPr defaultColWidth="8.88671875" defaultRowHeight="13.2" x14ac:dyDescent="0.2"/>
  <cols>
    <col min="1" max="1" width="24.88671875" style="61" bestFit="1" customWidth="1"/>
    <col min="2" max="2" width="13.88671875" style="61" customWidth="1"/>
    <col min="3" max="5" width="8.88671875" style="61"/>
    <col min="6" max="6" width="14.44140625" style="61" bestFit="1" customWidth="1"/>
    <col min="7" max="16384" width="8.88671875" style="61"/>
  </cols>
  <sheetData>
    <row r="1" spans="1:7" ht="13.8" thickBot="1" x14ac:dyDescent="0.25">
      <c r="A1" s="118" t="s">
        <v>13</v>
      </c>
      <c r="B1" s="119"/>
      <c r="F1" s="120" t="s">
        <v>0</v>
      </c>
      <c r="G1" s="120" t="s">
        <v>188</v>
      </c>
    </row>
    <row r="2" spans="1:7" x14ac:dyDescent="0.2">
      <c r="A2" s="120" t="s">
        <v>0</v>
      </c>
      <c r="B2" s="121">
        <f>計算シート!D12</f>
        <v>0</v>
      </c>
      <c r="F2" s="121">
        <v>0</v>
      </c>
      <c r="G2" s="121">
        <v>450000</v>
      </c>
    </row>
    <row r="3" spans="1:7" x14ac:dyDescent="0.2">
      <c r="A3" s="122" t="s">
        <v>191</v>
      </c>
      <c r="B3" s="123">
        <f>IF(AND(B2&gt;580000,B2&lt;=1230000),1,0)</f>
        <v>0</v>
      </c>
      <c r="F3" s="121">
        <v>950001</v>
      </c>
      <c r="G3" s="121">
        <v>410000</v>
      </c>
    </row>
    <row r="4" spans="1:7" x14ac:dyDescent="0.2">
      <c r="A4" s="120" t="s">
        <v>190</v>
      </c>
      <c r="B4" s="121">
        <f>計算シート!B31</f>
        <v>0</v>
      </c>
      <c r="F4" s="121">
        <v>1000001</v>
      </c>
      <c r="G4" s="121">
        <v>310000</v>
      </c>
    </row>
    <row r="5" spans="1:7" x14ac:dyDescent="0.2">
      <c r="A5" s="120" t="s">
        <v>189</v>
      </c>
      <c r="B5" s="121">
        <f>IF(AND(B3=1,B4=1),VLOOKUP(B2,F2:G9,2,TRUE),0)</f>
        <v>0</v>
      </c>
      <c r="F5" s="121">
        <v>1050001</v>
      </c>
      <c r="G5" s="121">
        <v>210000</v>
      </c>
    </row>
    <row r="6" spans="1:7" x14ac:dyDescent="0.2">
      <c r="F6" s="121">
        <v>1100001</v>
      </c>
      <c r="G6" s="121">
        <v>110000</v>
      </c>
    </row>
    <row r="7" spans="1:7" x14ac:dyDescent="0.2">
      <c r="F7" s="121">
        <v>1150001</v>
      </c>
      <c r="G7" s="121">
        <v>60000</v>
      </c>
    </row>
    <row r="8" spans="1:7" x14ac:dyDescent="0.2">
      <c r="F8" s="121">
        <v>1200001</v>
      </c>
      <c r="G8" s="121">
        <v>30000</v>
      </c>
    </row>
    <row r="9" spans="1:7" x14ac:dyDescent="0.2">
      <c r="F9" s="121">
        <v>1230001</v>
      </c>
      <c r="G9" s="121">
        <v>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入力シート</vt:lpstr>
      <vt:lpstr>入力例</vt:lpstr>
      <vt:lpstr>リストボックス</vt:lpstr>
      <vt:lpstr>計算シート</vt:lpstr>
      <vt:lpstr>計算シート２</vt:lpstr>
      <vt:lpstr>入力シート!Print_Area</vt:lpstr>
      <vt:lpstr>入力例!Print_Area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「支給額算定基準額判定ツール」</dc:title>
  <dc:creator>JASSO</dc:creator>
  <cp:lastPrinted>2025-06-05T09:59:23Z</cp:lastPrinted>
  <dcterms:created xsi:type="dcterms:W3CDTF">2006-09-16T00:00:00Z</dcterms:created>
  <dcterms:modified xsi:type="dcterms:W3CDTF">2026-03-31T10:15:01Z</dcterms:modified>
</cp:coreProperties>
</file>