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0.230.0.11\users\HTC402\Redirect\Desktop\【作成中・・・】202509016秋採用更新（一般・担当者）\2025(二次)マイナに代わる書類\"/>
    </mc:Choice>
  </mc:AlternateContent>
  <workbookProtection workbookPassword="9F49" lockStructure="1"/>
  <bookViews>
    <workbookView xWindow="0" yWindow="0" windowWidth="28800" windowHeight="10860"/>
  </bookViews>
  <sheets>
    <sheet name="海外居住者のための収入等申告書" sheetId="1" r:id="rId1"/>
    <sheet name="記入例と注意事項" sheetId="19" r:id="rId2"/>
    <sheet name="【経済基準の適格認定】記入例と注意事項" sheetId="11" state="hidden" r:id="rId3"/>
    <sheet name="【採用の申込み】記入例と注意事項（旧）" sheetId="13" state="hidden" r:id="rId4"/>
    <sheet name="前年レート" sheetId="2" state="hidden" r:id="rId5"/>
    <sheet name="当年レート" sheetId="12" state="hidden" r:id="rId6"/>
    <sheet name="計算シート" sheetId="3" state="hidden" r:id="rId7"/>
    <sheet name="出力用" sheetId="17" state="hidden" r:id="rId8"/>
    <sheet name="T11所得区分" sheetId="5" state="hidden" r:id="rId9"/>
    <sheet name="T12給与所得" sheetId="6" state="hidden" r:id="rId10"/>
    <sheet name="T12給与所得改正後" sheetId="16" state="hidden" r:id="rId11"/>
    <sheet name="T13人的控除" sheetId="7" state="hidden" r:id="rId12"/>
    <sheet name="T15調整控除" sheetId="9" state="hidden" r:id="rId13"/>
    <sheet name="T16税率等" sheetId="10" state="hidden" r:id="rId14"/>
    <sheet name="修正履歴" sheetId="14" state="hidden" r:id="rId15"/>
  </sheets>
  <externalReferences>
    <externalReference r:id="rId16"/>
  </externalReferences>
  <definedNames>
    <definedName name="_xlnm._FilterDatabase" localSheetId="0" hidden="1">海外居住者のための収入等申告書!$L$42:$N$48</definedName>
    <definedName name="_xlnm.Print_Area" localSheetId="2">【経済基準の適格認定】記入例と注意事項!$A$1:$V$73</definedName>
    <definedName name="_xlnm.Print_Area" localSheetId="3">'【採用の申込み】記入例と注意事項（旧）'!$A$1:$AA$72</definedName>
    <definedName name="_xlnm.Print_Area" localSheetId="0">海外居住者のための収入等申告書!$A$1:$Q$75</definedName>
    <definedName name="_xlnm.Print_Area" localSheetId="1">記入例と注意事項!$A$1:$AB$74</definedName>
    <definedName name="_xlnm.Print_Area" localSheetId="6">計算シート!$A:$D</definedName>
  </definedNames>
  <calcPr calcId="162913"/>
</workbook>
</file>

<file path=xl/calcChain.xml><?xml version="1.0" encoding="utf-8"?>
<calcChain xmlns="http://schemas.openxmlformats.org/spreadsheetml/2006/main">
  <c r="B5" i="1" l="1"/>
  <c r="N52" i="1"/>
  <c r="N51" i="1"/>
  <c r="C63" i="3"/>
  <c r="N27" i="1" l="1"/>
  <c r="F23" i="1" l="1"/>
  <c r="N55" i="1" l="1"/>
  <c r="N55" i="19"/>
  <c r="M48" i="19"/>
  <c r="G48" i="19"/>
  <c r="M46" i="19"/>
  <c r="G46" i="19"/>
  <c r="M44" i="19"/>
  <c r="G44" i="19"/>
  <c r="B39" i="19"/>
  <c r="B38" i="19"/>
  <c r="F37" i="19"/>
  <c r="G31" i="19"/>
  <c r="N30" i="19"/>
  <c r="G29" i="19"/>
  <c r="N28" i="19"/>
  <c r="N27" i="19"/>
  <c r="F23" i="19"/>
  <c r="C13" i="19"/>
  <c r="C11" i="19"/>
  <c r="B5" i="19"/>
  <c r="O2" i="19"/>
  <c r="D19" i="13"/>
  <c r="P72" i="13"/>
  <c r="B38" i="1" l="1"/>
  <c r="F37" i="1" l="1"/>
  <c r="D13" i="12" l="1"/>
  <c r="O13" i="2" l="1"/>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G48" i="1"/>
  <c r="G46" i="1"/>
  <c r="G44" i="1"/>
  <c r="C43" i="3" l="1"/>
  <c r="C9" i="3"/>
  <c r="C45" i="3" l="1"/>
  <c r="C62" i="3"/>
  <c r="C13" i="1"/>
  <c r="C11" i="1"/>
  <c r="B39" i="1"/>
  <c r="C67" i="3" l="1"/>
  <c r="H51" i="1" l="1"/>
  <c r="H52" i="1"/>
  <c r="B1" i="3"/>
  <c r="L33" i="1"/>
  <c r="M33" i="1" s="1"/>
  <c r="B36" i="19"/>
  <c r="K17" i="19"/>
  <c r="A34" i="19"/>
  <c r="B28" i="19"/>
  <c r="G17" i="19"/>
  <c r="B25" i="19"/>
  <c r="B30" i="19"/>
  <c r="B66" i="13"/>
  <c r="B63" i="19"/>
  <c r="L33" i="19"/>
  <c r="C17" i="19"/>
  <c r="B59" i="13"/>
  <c r="B70" i="19"/>
  <c r="B31" i="19"/>
  <c r="M13" i="19"/>
  <c r="A42" i="19"/>
  <c r="B23" i="19"/>
  <c r="J29" i="19"/>
  <c r="A50" i="19"/>
  <c r="F33" i="19"/>
  <c r="B27" i="19"/>
  <c r="G15" i="19"/>
  <c r="B60" i="13"/>
  <c r="B26" i="19"/>
  <c r="B69" i="19"/>
  <c r="G13" i="19"/>
  <c r="B40" i="19"/>
  <c r="N29" i="19"/>
  <c r="A22" i="19"/>
  <c r="B29" i="19"/>
  <c r="C15" i="19"/>
  <c r="B65" i="13"/>
  <c r="B37" i="19"/>
  <c r="B24" i="19"/>
  <c r="B64" i="19"/>
  <c r="K17" i="1"/>
  <c r="G17" i="1"/>
  <c r="C17" i="1"/>
  <c r="C15" i="1"/>
  <c r="B63" i="1"/>
  <c r="B64" i="1"/>
  <c r="B37" i="1"/>
  <c r="B23" i="1"/>
  <c r="J29" i="1"/>
  <c r="M13" i="1"/>
  <c r="G15" i="1"/>
  <c r="N29" i="1"/>
  <c r="A22" i="1"/>
  <c r="C1" i="3"/>
  <c r="B70" i="1"/>
  <c r="B36" i="1"/>
  <c r="B69" i="1"/>
  <c r="B28" i="1"/>
  <c r="B40" i="1"/>
  <c r="D37" i="3"/>
  <c r="B27" i="1"/>
  <c r="D36" i="3"/>
  <c r="B26" i="1"/>
  <c r="D35" i="3"/>
  <c r="F33" i="1"/>
  <c r="B25" i="1"/>
  <c r="A34" i="1"/>
  <c r="B24" i="1"/>
  <c r="G13" i="1"/>
  <c r="B31" i="1"/>
  <c r="A42" i="1"/>
  <c r="A50" i="1"/>
  <c r="B30" i="1"/>
  <c r="B29" i="1"/>
  <c r="N45" i="1" l="1"/>
  <c r="N39" i="1"/>
  <c r="N38" i="1"/>
  <c r="N36" i="1"/>
  <c r="N35" i="1"/>
  <c r="N34" i="1"/>
  <c r="N44" i="1"/>
  <c r="N43" i="1"/>
  <c r="N42" i="1"/>
  <c r="N48" i="1"/>
  <c r="N47" i="1"/>
  <c r="N46" i="1"/>
  <c r="L42" i="19"/>
  <c r="L50" i="19"/>
  <c r="L34" i="19"/>
  <c r="L34" i="1"/>
  <c r="D1" i="3"/>
  <c r="V14" i="2"/>
  <c r="D63" i="3" l="1"/>
  <c r="A2" i="17"/>
  <c r="K2" i="17"/>
  <c r="EJ2" i="17"/>
  <c r="N2" i="17"/>
  <c r="T2" i="17"/>
  <c r="EC2" i="17"/>
  <c r="EO2" i="17"/>
  <c r="L2" i="17"/>
  <c r="DG2" i="17"/>
  <c r="DE2" i="17"/>
  <c r="R2" i="17"/>
  <c r="E2" i="17"/>
  <c r="O2" i="17"/>
  <c r="J2" i="17"/>
  <c r="M2" i="17"/>
  <c r="EE2" i="17"/>
  <c r="EP2" i="17"/>
  <c r="EH2" i="17"/>
  <c r="EF2" i="17"/>
  <c r="AD2" i="17"/>
  <c r="DF2" i="17"/>
  <c r="F2" i="17"/>
  <c r="EI2" i="17"/>
  <c r="EG2" i="17"/>
  <c r="U2" i="17"/>
  <c r="ED2" i="17"/>
  <c r="W2" i="17"/>
  <c r="I2" i="17"/>
  <c r="D19" i="11" l="1"/>
  <c r="C57" i="3"/>
  <c r="O2" i="1" l="1"/>
  <c r="C44" i="3" l="1"/>
  <c r="BY2" i="17"/>
  <c r="C48" i="3" l="1"/>
  <c r="C47" i="3"/>
  <c r="CB2" i="17"/>
  <c r="CC2" i="17"/>
  <c r="O74" i="12" l="1"/>
  <c r="N74" i="12"/>
  <c r="O73" i="12"/>
  <c r="N73" i="12"/>
  <c r="O72" i="12"/>
  <c r="N72" i="12"/>
  <c r="O71" i="12"/>
  <c r="N71" i="12"/>
  <c r="O70" i="12"/>
  <c r="N70" i="12"/>
  <c r="O69" i="12"/>
  <c r="N69" i="12"/>
  <c r="O68" i="12"/>
  <c r="N68" i="12"/>
  <c r="O67" i="12"/>
  <c r="N67" i="12"/>
  <c r="O66" i="12"/>
  <c r="N66" i="12"/>
  <c r="O65" i="12"/>
  <c r="N65" i="12"/>
  <c r="O64" i="12"/>
  <c r="N64" i="12"/>
  <c r="O63" i="12"/>
  <c r="N63" i="12"/>
  <c r="O62" i="12"/>
  <c r="N62" i="12"/>
  <c r="O61" i="12"/>
  <c r="N61" i="12"/>
  <c r="O60" i="12"/>
  <c r="N60" i="12"/>
  <c r="O59" i="12"/>
  <c r="N59" i="12"/>
  <c r="O58" i="12"/>
  <c r="N58" i="12"/>
  <c r="O57" i="12"/>
  <c r="N57" i="12"/>
  <c r="O56" i="12"/>
  <c r="N56" i="12"/>
  <c r="O55" i="12"/>
  <c r="N55" i="12"/>
  <c r="O54" i="12"/>
  <c r="N54" i="12"/>
  <c r="O53" i="12"/>
  <c r="N53" i="12"/>
  <c r="O52" i="12"/>
  <c r="N52" i="12"/>
  <c r="O51" i="12"/>
  <c r="N51" i="12"/>
  <c r="O50" i="12"/>
  <c r="N50" i="12"/>
  <c r="O49" i="12"/>
  <c r="N49" i="12"/>
  <c r="O48" i="12"/>
  <c r="N48" i="12"/>
  <c r="O47" i="12"/>
  <c r="N47" i="12"/>
  <c r="O46" i="12"/>
  <c r="N46" i="12"/>
  <c r="O45" i="12"/>
  <c r="N45" i="12"/>
  <c r="O44" i="12"/>
  <c r="N44" i="12"/>
  <c r="O43" i="12"/>
  <c r="N43" i="12"/>
  <c r="O42" i="12"/>
  <c r="N42" i="12"/>
  <c r="O41" i="12"/>
  <c r="N41" i="12"/>
  <c r="O40" i="12"/>
  <c r="N40" i="12"/>
  <c r="O39" i="12"/>
  <c r="N39" i="12"/>
  <c r="O38" i="12"/>
  <c r="N38" i="12"/>
  <c r="O37" i="12"/>
  <c r="N37" i="12"/>
  <c r="O36" i="12"/>
  <c r="N36" i="12"/>
  <c r="O35" i="12"/>
  <c r="N35" i="12"/>
  <c r="O34" i="12"/>
  <c r="N34" i="12"/>
  <c r="O33" i="12"/>
  <c r="N33" i="12"/>
  <c r="O32" i="12"/>
  <c r="N32" i="12"/>
  <c r="O31" i="12"/>
  <c r="N31" i="12"/>
  <c r="O30" i="12"/>
  <c r="N30" i="12"/>
  <c r="O29" i="12"/>
  <c r="N29" i="12"/>
  <c r="O28" i="12"/>
  <c r="N28" i="12"/>
  <c r="O27" i="12"/>
  <c r="N27" i="12"/>
  <c r="O26" i="12"/>
  <c r="N26" i="12"/>
  <c r="O25" i="12"/>
  <c r="N25" i="12"/>
  <c r="O24" i="12"/>
  <c r="N24" i="12"/>
  <c r="O23" i="12"/>
  <c r="N23" i="12"/>
  <c r="O22" i="12"/>
  <c r="N22" i="12"/>
  <c r="O21" i="12"/>
  <c r="N21" i="12"/>
  <c r="O20" i="12"/>
  <c r="N20" i="12"/>
  <c r="O19" i="12"/>
  <c r="N19" i="12"/>
  <c r="O18" i="12"/>
  <c r="N18" i="12"/>
  <c r="O17" i="12"/>
  <c r="N17" i="12"/>
  <c r="O16" i="12"/>
  <c r="N16" i="12"/>
  <c r="O15" i="12"/>
  <c r="N15" i="12"/>
  <c r="V14" i="12"/>
  <c r="O14" i="12"/>
  <c r="N14" i="12"/>
  <c r="O13" i="12"/>
  <c r="N13" i="12"/>
  <c r="BX2" i="17"/>
  <c r="C50" i="3" l="1"/>
  <c r="CE2" i="17"/>
  <c r="BZ2" i="17"/>
  <c r="F8" i="3" l="1"/>
  <c r="D22" i="3"/>
  <c r="B22" i="3"/>
  <c r="F10" i="3"/>
  <c r="B36" i="11"/>
  <c r="C22" i="3"/>
  <c r="F9" i="3"/>
  <c r="B25" i="3"/>
  <c r="C46" i="3"/>
  <c r="BC2" i="17"/>
  <c r="DH2" i="17"/>
  <c r="V2" i="17"/>
  <c r="Y2" i="17"/>
  <c r="CA2" i="17"/>
  <c r="C56" i="3" l="1"/>
  <c r="B2" i="3"/>
  <c r="B61" i="13"/>
  <c r="B66" i="19"/>
  <c r="B62" i="13"/>
  <c r="B20" i="19"/>
  <c r="B65" i="19"/>
  <c r="B19" i="19"/>
  <c r="B19" i="1"/>
  <c r="C2" i="3"/>
  <c r="C49" i="3"/>
  <c r="Q46" i="13"/>
  <c r="D2" i="3"/>
  <c r="B20" i="1"/>
  <c r="L46" i="11"/>
  <c r="B66" i="1"/>
  <c r="B65" i="1"/>
  <c r="C55" i="3"/>
  <c r="CJ2" i="17"/>
  <c r="AI2" i="17"/>
  <c r="B2" i="17"/>
  <c r="CD2" i="17"/>
  <c r="CN2" i="17"/>
  <c r="D3" i="3" l="1"/>
  <c r="D51" i="3" s="1"/>
  <c r="B16" i="13"/>
  <c r="B15" i="13"/>
  <c r="B26" i="3"/>
  <c r="B15" i="11"/>
  <c r="D7" i="3"/>
  <c r="C3" i="3"/>
  <c r="C51" i="3" s="1"/>
  <c r="C58" i="3"/>
  <c r="C7" i="3"/>
  <c r="C5" i="3"/>
  <c r="D5" i="3"/>
  <c r="D6" i="3" s="1"/>
  <c r="B7" i="3"/>
  <c r="B16" i="11"/>
  <c r="B3" i="3"/>
  <c r="B4" i="3" s="1"/>
  <c r="D26" i="3"/>
  <c r="N30" i="1"/>
  <c r="AL2" i="17"/>
  <c r="DL2" i="17"/>
  <c r="CQ2" i="17"/>
  <c r="AJ2" i="17"/>
  <c r="C2" i="17"/>
  <c r="Z2" i="17"/>
  <c r="CS2" i="17"/>
  <c r="CR2" i="17"/>
  <c r="AN2" i="17"/>
  <c r="D2" i="17"/>
  <c r="CK2" i="17"/>
  <c r="G2" i="17"/>
  <c r="CO2" i="17"/>
  <c r="D54" i="3" l="1"/>
  <c r="C6" i="3"/>
  <c r="C54" i="3" s="1"/>
  <c r="N28" i="1"/>
  <c r="AM2" i="17"/>
  <c r="L50" i="1" l="1"/>
  <c r="D42" i="3"/>
  <c r="EB2" i="17"/>
  <c r="AP2" i="17"/>
  <c r="D76" i="1" l="1"/>
  <c r="D76" i="19"/>
  <c r="D9" i="3"/>
  <c r="D41" i="3"/>
  <c r="L42" i="1"/>
  <c r="B17" i="3"/>
  <c r="B16" i="3"/>
  <c r="D38" i="3" s="1"/>
  <c r="G31" i="1"/>
  <c r="G29" i="1"/>
  <c r="Q2" i="17"/>
  <c r="EA2" i="17"/>
  <c r="CU2" i="17"/>
  <c r="P2" i="17"/>
  <c r="D40" i="3" l="1"/>
  <c r="D39" i="3" s="1"/>
  <c r="B24" i="3"/>
  <c r="B8" i="3"/>
  <c r="C36" i="3" s="1"/>
  <c r="C42" i="3"/>
  <c r="M46" i="1"/>
  <c r="M48" i="1"/>
  <c r="D15" i="3"/>
  <c r="D14" i="3"/>
  <c r="C15" i="3"/>
  <c r="C14" i="3"/>
  <c r="AV2" i="17"/>
  <c r="BW2" i="17"/>
  <c r="DA2" i="17"/>
  <c r="H2" i="17"/>
  <c r="X2" i="17"/>
  <c r="AU2" i="17"/>
  <c r="CZ2" i="17"/>
  <c r="C76" i="1" l="1"/>
  <c r="C76" i="19"/>
  <c r="B19" i="3"/>
  <c r="C37" i="3"/>
  <c r="C13" i="3" s="1"/>
  <c r="C35" i="3"/>
  <c r="D13" i="3"/>
  <c r="B34" i="3"/>
  <c r="D24" i="3"/>
  <c r="M44" i="1"/>
  <c r="CY2" i="17"/>
  <c r="DV2" i="17"/>
  <c r="DW2" i="17"/>
  <c r="DU2" i="17"/>
  <c r="AH2" i="17"/>
  <c r="BQ2" i="17"/>
  <c r="BR2" i="17"/>
  <c r="BP2" i="17"/>
  <c r="DJ2" i="17"/>
  <c r="S2" i="17"/>
  <c r="C65" i="3" l="1"/>
  <c r="EV2" i="17" s="1"/>
  <c r="C40" i="3"/>
  <c r="C39" i="3" s="1"/>
  <c r="C38" i="3"/>
  <c r="B31" i="3"/>
  <c r="C73" i="1"/>
  <c r="B27" i="3"/>
  <c r="C24" i="3"/>
  <c r="D12" i="3"/>
  <c r="C12" i="3"/>
  <c r="AA2" i="17"/>
  <c r="AT2" i="17"/>
  <c r="AE2" i="17"/>
  <c r="AS2" i="17"/>
  <c r="CX2" i="17"/>
  <c r="BS2" i="17"/>
  <c r="DX2" i="17"/>
  <c r="DZ2" i="17"/>
  <c r="BE2" i="17"/>
  <c r="BU2" i="17"/>
  <c r="H74" i="1" l="1"/>
  <c r="C64" i="3"/>
  <c r="B28" i="3"/>
  <c r="B29" i="3" s="1"/>
  <c r="C41" i="3"/>
  <c r="AC2" i="17"/>
  <c r="BV2" i="17"/>
  <c r="AB2" i="17"/>
  <c r="DY2" i="17"/>
  <c r="BT2" i="17"/>
  <c r="H73" i="1" l="1"/>
  <c r="EU2" i="17"/>
  <c r="B32" i="3"/>
  <c r="AF2" i="17"/>
  <c r="B33" i="3" l="1"/>
  <c r="BA2" i="17"/>
  <c r="AG2" i="17"/>
  <c r="C59" i="3" l="1"/>
  <c r="CL2" i="17"/>
  <c r="C52" i="3" l="1"/>
  <c r="D53" i="3" s="1"/>
  <c r="D4" i="3" s="1"/>
  <c r="CI2" i="17"/>
  <c r="ER2" i="17"/>
  <c r="EK2" i="17"/>
  <c r="CG2" i="17"/>
  <c r="CF2" i="17"/>
  <c r="EQ2" i="17"/>
  <c r="CM2" i="17"/>
  <c r="CP2" i="17"/>
  <c r="EM2" i="17"/>
  <c r="D8" i="3" l="1"/>
  <c r="CT2" i="17"/>
  <c r="EN2" i="17"/>
  <c r="D52" i="3" l="1"/>
  <c r="EL2" i="17"/>
  <c r="C53" i="3" l="1"/>
  <c r="CH2" i="17"/>
  <c r="C4" i="3" l="1"/>
  <c r="AK2" i="17"/>
  <c r="C8" i="3" l="1"/>
  <c r="C21" i="3" s="1"/>
  <c r="BB2" i="17"/>
  <c r="AO2" i="17"/>
  <c r="C19" i="3" l="1"/>
  <c r="C66" i="3" s="1"/>
  <c r="C10" i="3"/>
  <c r="D10" i="3"/>
  <c r="CV2" i="17"/>
  <c r="AZ2" i="17"/>
  <c r="AQ2" i="17"/>
  <c r="C26" i="3" l="1"/>
  <c r="K73" i="1"/>
  <c r="EW2" i="17"/>
  <c r="C18" i="3"/>
  <c r="C17" i="3"/>
  <c r="D30" i="3"/>
  <c r="C16" i="3"/>
  <c r="D11" i="3"/>
  <c r="C23" i="3"/>
  <c r="D18" i="3"/>
  <c r="C30" i="3"/>
  <c r="D17" i="3"/>
  <c r="C11" i="3"/>
  <c r="D16" i="3"/>
  <c r="D23" i="3"/>
  <c r="DP2" i="17"/>
  <c r="AX2" i="17"/>
  <c r="DC2" i="17"/>
  <c r="AY2" i="17"/>
  <c r="AR2" i="17"/>
  <c r="DI2" i="17"/>
  <c r="AW2" i="17"/>
  <c r="DB2" i="17"/>
  <c r="BK2" i="17"/>
  <c r="DD2" i="17"/>
  <c r="BD2" i="17"/>
  <c r="CW2" i="17"/>
  <c r="BG2" i="17"/>
  <c r="D25" i="3" l="1"/>
  <c r="C27" i="3"/>
  <c r="C25" i="3"/>
  <c r="C31" i="3"/>
  <c r="D31" i="3"/>
  <c r="D27" i="3"/>
  <c r="BF2" i="17"/>
  <c r="DM2" i="17"/>
  <c r="BL2" i="17"/>
  <c r="DK2" i="17"/>
  <c r="BH2" i="17"/>
  <c r="DQ2" i="17"/>
  <c r="D28" i="3" l="1"/>
  <c r="C28" i="3"/>
  <c r="DN2" i="17"/>
  <c r="BI2" i="17"/>
  <c r="C29" i="3" l="1"/>
  <c r="C32" i="3"/>
  <c r="D32" i="3"/>
  <c r="D29" i="3"/>
  <c r="BJ2" i="17"/>
  <c r="DR2" i="17"/>
  <c r="BM2" i="17"/>
  <c r="DO2" i="17"/>
  <c r="C33" i="3" l="1"/>
  <c r="C34" i="3" s="1"/>
  <c r="C61" i="3"/>
  <c r="D33" i="3"/>
  <c r="D34" i="3" s="1"/>
  <c r="BO2" i="17"/>
  <c r="DT2" i="17"/>
  <c r="BN2" i="17"/>
  <c r="DS2" i="17"/>
  <c r="D59" i="3" l="1"/>
  <c r="C60" i="3"/>
  <c r="C74" i="1" s="1"/>
  <c r="ES2" i="17"/>
  <c r="C75" i="19"/>
  <c r="C75" i="1"/>
  <c r="D60" i="3" l="1"/>
  <c r="D74" i="1" s="1"/>
  <c r="D61" i="3"/>
  <c r="D75" i="1" l="1"/>
  <c r="D75" i="19"/>
  <c r="ET2" i="17"/>
</calcChain>
</file>

<file path=xl/sharedStrings.xml><?xml version="1.0" encoding="utf-8"?>
<sst xmlns="http://schemas.openxmlformats.org/spreadsheetml/2006/main" count="2219" uniqueCount="1124">
  <si>
    <t>16歳未満扶養親族の数</t>
    <rPh sb="2" eb="5">
      <t>サイミマン</t>
    </rPh>
    <rPh sb="5" eb="7">
      <t>フヨウ</t>
    </rPh>
    <rPh sb="7" eb="9">
      <t>シンゾク</t>
    </rPh>
    <rPh sb="10" eb="11">
      <t>カズ</t>
    </rPh>
    <phoneticPr fontId="2"/>
  </si>
  <si>
    <t>16～18歳の扶養親族の数</t>
    <rPh sb="5" eb="6">
      <t>サイ</t>
    </rPh>
    <rPh sb="7" eb="9">
      <t>フヨウ</t>
    </rPh>
    <rPh sb="9" eb="11">
      <t>シンゾク</t>
    </rPh>
    <rPh sb="12" eb="13">
      <t>カズ</t>
    </rPh>
    <phoneticPr fontId="1"/>
  </si>
  <si>
    <t>19～22歳の扶養親族の数</t>
    <rPh sb="5" eb="6">
      <t>サイ</t>
    </rPh>
    <rPh sb="7" eb="9">
      <t>フヨウ</t>
    </rPh>
    <rPh sb="9" eb="11">
      <t>シンゾク</t>
    </rPh>
    <rPh sb="12" eb="13">
      <t>カズ</t>
    </rPh>
    <phoneticPr fontId="1"/>
  </si>
  <si>
    <t>23～69歳の扶養親族の数</t>
    <rPh sb="5" eb="6">
      <t>サイ</t>
    </rPh>
    <rPh sb="7" eb="9">
      <t>フヨウ</t>
    </rPh>
    <rPh sb="9" eb="11">
      <t>シンゾク</t>
    </rPh>
    <rPh sb="12" eb="13">
      <t>カズ</t>
    </rPh>
    <phoneticPr fontId="1"/>
  </si>
  <si>
    <t>70歳以上扶養親族（同居尊属）の数</t>
    <rPh sb="2" eb="5">
      <t>サイイジョウ</t>
    </rPh>
    <rPh sb="5" eb="7">
      <t>フヨウ</t>
    </rPh>
    <rPh sb="7" eb="9">
      <t>シンゾク</t>
    </rPh>
    <rPh sb="10" eb="12">
      <t>ドウキョ</t>
    </rPh>
    <rPh sb="12" eb="14">
      <t>ソンゾク</t>
    </rPh>
    <rPh sb="16" eb="17">
      <t>カズ</t>
    </rPh>
    <phoneticPr fontId="1"/>
  </si>
  <si>
    <t>70歳以上で上記以外の扶養親族の数</t>
    <rPh sb="2" eb="5">
      <t>サイイジョウ</t>
    </rPh>
    <rPh sb="6" eb="8">
      <t>ジョウキ</t>
    </rPh>
    <rPh sb="8" eb="10">
      <t>イガイ</t>
    </rPh>
    <rPh sb="11" eb="13">
      <t>フヨウ</t>
    </rPh>
    <rPh sb="13" eb="15">
      <t>シンゾク</t>
    </rPh>
    <rPh sb="16" eb="17">
      <t>カズ</t>
    </rPh>
    <phoneticPr fontId="1"/>
  </si>
  <si>
    <t>につき</t>
  </si>
  <si>
    <t>米ドル</t>
  </si>
  <si>
    <t xml:space="preserve">  〃</t>
  </si>
  <si>
    <t xml:space="preserve">  「外国為替の取引等の報告に関する省令」第35条第2号に基づき財務大臣</t>
    <rPh sb="32" eb="34">
      <t>ザイム</t>
    </rPh>
    <phoneticPr fontId="4"/>
  </si>
  <si>
    <t xml:space="preserve">  の換算）について</t>
  </si>
  <si>
    <t>財務大臣公示</t>
    <rPh sb="0" eb="2">
      <t>ザイム</t>
    </rPh>
    <phoneticPr fontId="4"/>
  </si>
  <si>
    <t>当該外国通貨のアメリカ合衆国通貨に対する市場実勢</t>
  </si>
  <si>
    <t>　</t>
    <phoneticPr fontId="4"/>
  </si>
  <si>
    <t>通貨一覧</t>
    <rPh sb="0" eb="2">
      <t>ツウカ</t>
    </rPh>
    <rPh sb="2" eb="4">
      <t>イチラン</t>
    </rPh>
    <phoneticPr fontId="2"/>
  </si>
  <si>
    <t>対円レート</t>
    <rPh sb="0" eb="2">
      <t>タイエン</t>
    </rPh>
    <phoneticPr fontId="2"/>
  </si>
  <si>
    <t>給与所得金額</t>
    <rPh sb="0" eb="2">
      <t>キュウヨ</t>
    </rPh>
    <rPh sb="2" eb="4">
      <t>ショトク</t>
    </rPh>
    <rPh sb="4" eb="6">
      <t>キンガク</t>
    </rPh>
    <phoneticPr fontId="2"/>
  </si>
  <si>
    <t>合計所得金額</t>
    <rPh sb="0" eb="2">
      <t>ゴウケイ</t>
    </rPh>
    <rPh sb="2" eb="4">
      <t>ショトク</t>
    </rPh>
    <rPh sb="4" eb="6">
      <t>キンガク</t>
    </rPh>
    <phoneticPr fontId="2"/>
  </si>
  <si>
    <t>扶養控除（一般）</t>
    <rPh sb="0" eb="2">
      <t>フヨウ</t>
    </rPh>
    <rPh sb="2" eb="4">
      <t>コウジョ</t>
    </rPh>
    <rPh sb="5" eb="7">
      <t>イッパン</t>
    </rPh>
    <phoneticPr fontId="2"/>
  </si>
  <si>
    <t>扶養控除（特定）</t>
    <rPh sb="0" eb="2">
      <t>フヨウ</t>
    </rPh>
    <rPh sb="2" eb="4">
      <t>コウジョ</t>
    </rPh>
    <rPh sb="5" eb="7">
      <t>トクテイ</t>
    </rPh>
    <phoneticPr fontId="2"/>
  </si>
  <si>
    <t>扶養控除（老人）</t>
    <rPh sb="0" eb="2">
      <t>フヨウ</t>
    </rPh>
    <rPh sb="2" eb="4">
      <t>コウジョ</t>
    </rPh>
    <rPh sb="5" eb="7">
      <t>ロウジン</t>
    </rPh>
    <phoneticPr fontId="2"/>
  </si>
  <si>
    <t>扶養控除（同老）</t>
    <rPh sb="0" eb="2">
      <t>フヨウ</t>
    </rPh>
    <rPh sb="2" eb="4">
      <t>コウジョ</t>
    </rPh>
    <rPh sb="5" eb="6">
      <t>オナ</t>
    </rPh>
    <rPh sb="6" eb="7">
      <t>ロウ</t>
    </rPh>
    <phoneticPr fontId="2"/>
  </si>
  <si>
    <t>障害者控除（一般）</t>
    <rPh sb="0" eb="3">
      <t>ショウガイシャ</t>
    </rPh>
    <rPh sb="3" eb="5">
      <t>コウジョ</t>
    </rPh>
    <rPh sb="6" eb="8">
      <t>イッパン</t>
    </rPh>
    <phoneticPr fontId="2"/>
  </si>
  <si>
    <t>障害者控除（特定）</t>
    <rPh sb="0" eb="3">
      <t>ショウガイシャ</t>
    </rPh>
    <rPh sb="3" eb="5">
      <t>コウジョ</t>
    </rPh>
    <rPh sb="6" eb="8">
      <t>トクテイ</t>
    </rPh>
    <phoneticPr fontId="2"/>
  </si>
  <si>
    <t>障害者控除（同特）</t>
    <rPh sb="0" eb="3">
      <t>ショウガイシャ</t>
    </rPh>
    <rPh sb="3" eb="5">
      <t>コウジョ</t>
    </rPh>
    <rPh sb="6" eb="7">
      <t>ドウ</t>
    </rPh>
    <rPh sb="7" eb="8">
      <t>トク</t>
    </rPh>
    <phoneticPr fontId="2"/>
  </si>
  <si>
    <t>寡婦控除</t>
    <rPh sb="0" eb="2">
      <t>カフ</t>
    </rPh>
    <rPh sb="2" eb="4">
      <t>コウジョ</t>
    </rPh>
    <phoneticPr fontId="2"/>
  </si>
  <si>
    <t>寡婦特別控除</t>
    <rPh sb="0" eb="2">
      <t>カフ</t>
    </rPh>
    <rPh sb="2" eb="4">
      <t>トクベツ</t>
    </rPh>
    <rPh sb="4" eb="6">
      <t>コウジョ</t>
    </rPh>
    <phoneticPr fontId="2"/>
  </si>
  <si>
    <t>寡夫控除</t>
    <rPh sb="0" eb="2">
      <t>カフ</t>
    </rPh>
    <rPh sb="2" eb="4">
      <t>コウジョ</t>
    </rPh>
    <phoneticPr fontId="2"/>
  </si>
  <si>
    <t>扶養親族等の数</t>
    <rPh sb="0" eb="2">
      <t>フヨウ</t>
    </rPh>
    <rPh sb="2" eb="4">
      <t>シンゾク</t>
    </rPh>
    <rPh sb="4" eb="5">
      <t>トウ</t>
    </rPh>
    <rPh sb="6" eb="7">
      <t>カズ</t>
    </rPh>
    <phoneticPr fontId="2"/>
  </si>
  <si>
    <t>社会保険料等控除</t>
    <rPh sb="0" eb="2">
      <t>シャカイ</t>
    </rPh>
    <rPh sb="2" eb="5">
      <t>ホケンリョウ</t>
    </rPh>
    <rPh sb="5" eb="6">
      <t>トウ</t>
    </rPh>
    <rPh sb="6" eb="8">
      <t>コウジョ</t>
    </rPh>
    <phoneticPr fontId="2"/>
  </si>
  <si>
    <t>課税標準額</t>
    <rPh sb="0" eb="2">
      <t>カゼイ</t>
    </rPh>
    <rPh sb="2" eb="4">
      <t>ヒョウジュン</t>
    </rPh>
    <rPh sb="4" eb="5">
      <t>ガク</t>
    </rPh>
    <phoneticPr fontId="2"/>
  </si>
  <si>
    <t>基礎控除</t>
    <rPh sb="0" eb="2">
      <t>キソ</t>
    </rPh>
    <rPh sb="2" eb="4">
      <t>コウジョ</t>
    </rPh>
    <phoneticPr fontId="2"/>
  </si>
  <si>
    <t>非課税限度</t>
    <rPh sb="0" eb="3">
      <t>ヒカゼイ</t>
    </rPh>
    <rPh sb="3" eb="5">
      <t>ゲンド</t>
    </rPh>
    <phoneticPr fontId="2"/>
  </si>
  <si>
    <t>非課税となる基準</t>
    <rPh sb="0" eb="3">
      <t>ヒカゼイ</t>
    </rPh>
    <rPh sb="6" eb="8">
      <t>キジュン</t>
    </rPh>
    <phoneticPr fontId="2"/>
  </si>
  <si>
    <t>算出税額</t>
    <rPh sb="0" eb="2">
      <t>サンシュツ</t>
    </rPh>
    <rPh sb="2" eb="4">
      <t>ゼイガク</t>
    </rPh>
    <phoneticPr fontId="2"/>
  </si>
  <si>
    <t>人的控除の差額</t>
    <rPh sb="0" eb="2">
      <t>ジンテキ</t>
    </rPh>
    <rPh sb="2" eb="4">
      <t>コウジョ</t>
    </rPh>
    <rPh sb="5" eb="7">
      <t>サガク</t>
    </rPh>
    <phoneticPr fontId="2"/>
  </si>
  <si>
    <t>調整控除</t>
    <rPh sb="0" eb="2">
      <t>チョウセイ</t>
    </rPh>
    <rPh sb="2" eb="4">
      <t>コウジョ</t>
    </rPh>
    <phoneticPr fontId="2"/>
  </si>
  <si>
    <t>調整額</t>
    <rPh sb="0" eb="2">
      <t>チョウセイ</t>
    </rPh>
    <rPh sb="2" eb="3">
      <t>ガク</t>
    </rPh>
    <phoneticPr fontId="2"/>
  </si>
  <si>
    <t>生計維持者１</t>
    <rPh sb="0" eb="2">
      <t>セイケイ</t>
    </rPh>
    <rPh sb="2" eb="4">
      <t>イジ</t>
    </rPh>
    <rPh sb="4" eb="5">
      <t>シャ</t>
    </rPh>
    <phoneticPr fontId="2"/>
  </si>
  <si>
    <t>選択肢</t>
    <rPh sb="0" eb="3">
      <t>センタクシ</t>
    </rPh>
    <phoneticPr fontId="2"/>
  </si>
  <si>
    <t>はい</t>
  </si>
  <si>
    <t>はい</t>
    <phoneticPr fontId="2"/>
  </si>
  <si>
    <t>いいえ</t>
  </si>
  <si>
    <t>いいえ</t>
    <phoneticPr fontId="2"/>
  </si>
  <si>
    <t>障がい者でない</t>
    <rPh sb="0" eb="1">
      <t>ショウ</t>
    </rPh>
    <rPh sb="3" eb="4">
      <t>シャ</t>
    </rPh>
    <phoneticPr fontId="2"/>
  </si>
  <si>
    <t>障がい者である</t>
    <rPh sb="0" eb="1">
      <t>ショウ</t>
    </rPh>
    <rPh sb="3" eb="4">
      <t>シャ</t>
    </rPh>
    <phoneticPr fontId="2"/>
  </si>
  <si>
    <t>寡婦（夫）でない</t>
    <rPh sb="0" eb="2">
      <t>カフ</t>
    </rPh>
    <rPh sb="3" eb="4">
      <t>オット</t>
    </rPh>
    <phoneticPr fontId="2"/>
  </si>
  <si>
    <t>項番</t>
    <rPh sb="0" eb="2">
      <t>コウバン</t>
    </rPh>
    <phoneticPr fontId="2"/>
  </si>
  <si>
    <t>人</t>
    <rPh sb="0" eb="1">
      <t>ニン</t>
    </rPh>
    <phoneticPr fontId="2"/>
  </si>
  <si>
    <t>日本円 (JPY)</t>
    <rPh sb="0" eb="3">
      <t>ニホンエン</t>
    </rPh>
    <phoneticPr fontId="2"/>
  </si>
  <si>
    <t>値</t>
    <rPh sb="0" eb="1">
      <t>アタイ</t>
    </rPh>
    <phoneticPr fontId="2"/>
  </si>
  <si>
    <t>入力形式</t>
    <rPh sb="0" eb="2">
      <t>ニュウリョク</t>
    </rPh>
    <rPh sb="2" eb="4">
      <t>ケイシキ</t>
    </rPh>
    <phoneticPr fontId="2"/>
  </si>
  <si>
    <t>説明</t>
    <rPh sb="0" eb="2">
      <t>セツメイ</t>
    </rPh>
    <phoneticPr fontId="2"/>
  </si>
  <si>
    <t>数値</t>
    <rPh sb="0" eb="2">
      <t>スウチ</t>
    </rPh>
    <phoneticPr fontId="2"/>
  </si>
  <si>
    <t>配偶者控除のための家計支持者１の所得区分A</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</si>
  <si>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配偶者控除のための家計支持者１の所得区分B</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</si>
  <si>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配偶者控除のための家計支持者１の所得区分C</t>
    <rPh sb="0" eb="3">
      <t>ハイグウシャ</t>
    </rPh>
    <rPh sb="3" eb="5">
      <t>コウジョ</t>
    </rPh>
    <rPh sb="9" eb="11">
      <t>カケイ</t>
    </rPh>
    <rPh sb="11" eb="14">
      <t>シジシャ</t>
    </rPh>
    <rPh sb="16" eb="18">
      <t>ショトク</t>
    </rPh>
    <rPh sb="18" eb="20">
      <t>クブン</t>
    </rPh>
    <phoneticPr fontId="2"/>
  </si>
  <si>
    <t>配偶者控除のための家計支持者２の所得区分a</t>
    <rPh sb="0" eb="3">
      <t>ハイグウシャ</t>
    </rPh>
    <rPh sb="3" eb="5">
      <t>コウジョ</t>
    </rPh>
    <rPh sb="9" eb="11">
      <t>カケイ</t>
    </rPh>
    <rPh sb="11" eb="14">
      <t>シジシャ</t>
    </rPh>
    <rPh sb="16" eb="18">
      <t>ショトク</t>
    </rPh>
    <rPh sb="18" eb="20">
      <t>クブン</t>
    </rPh>
    <phoneticPr fontId="2"/>
  </si>
  <si>
    <t>配偶者特別控除のための家計支持者２の所得区分b</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</si>
  <si>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配偶者特別控除のための家計支持者２の所得区分c</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</si>
  <si>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配偶者特別控除のための家計支持者２の所得区分d</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</si>
  <si>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配偶者特別控除のための家計支持者２の所得区分e</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</si>
  <si>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配偶者特別控除のための家計支持者２の所得区分f</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</si>
  <si>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配偶者特別控除のための家計支持者２の所得区分g</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</si>
  <si>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配偶者特別控除のための家計支持者２の所得区分h</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</si>
  <si>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配偶者特別控除のための家計支持者２の所得区分i</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</si>
  <si>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配偶者特別控除のための家計支持者２の所得区分j</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</si>
  <si>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配偶者特別控除のための家計支持者２の所得区分k</t>
    <rPh sb="0" eb="3">
      <t>ハイグウシャ</t>
    </rPh>
    <rPh sb="3" eb="5">
      <t>トクベツ</t>
    </rPh>
    <rPh sb="5" eb="7">
      <t>コウジョ</t>
    </rPh>
    <rPh sb="11" eb="13">
      <t>カケイ</t>
    </rPh>
    <rPh sb="13" eb="16">
      <t>シジシャ</t>
    </rPh>
    <rPh sb="18" eb="20">
      <t>ショトク</t>
    </rPh>
    <rPh sb="20" eb="22">
      <t>クブン</t>
    </rPh>
    <phoneticPr fontId="2"/>
  </si>
  <si>
    <t>給与所得控除のための給与収入区分A</t>
    <rPh sb="0" eb="2">
      <t>キュウヨ</t>
    </rPh>
    <rPh sb="2" eb="4">
      <t>ショトク</t>
    </rPh>
    <rPh sb="4" eb="6">
      <t>コウジョ</t>
    </rPh>
    <rPh sb="10" eb="12">
      <t>キュウヨ</t>
    </rPh>
    <rPh sb="12" eb="14">
      <t>シュウニュウ</t>
    </rPh>
    <rPh sb="14" eb="16">
      <t>クブン</t>
    </rPh>
    <phoneticPr fontId="2"/>
  </si>
  <si>
    <t>給与所得控除のための給与収入区分B</t>
    <rPh sb="0" eb="2">
      <t>キュウヨ</t>
    </rPh>
    <rPh sb="2" eb="4">
      <t>ショトク</t>
    </rPh>
    <rPh sb="4" eb="6">
      <t>コウジョ</t>
    </rPh>
    <rPh sb="10" eb="12">
      <t>キュウヨ</t>
    </rPh>
    <rPh sb="12" eb="14">
      <t>シュウニュウ</t>
    </rPh>
    <rPh sb="14" eb="16">
      <t>クブン</t>
    </rPh>
    <phoneticPr fontId="2"/>
  </si>
  <si>
    <t>給与所得控除のための給与収入区分C</t>
    <rPh sb="0" eb="2">
      <t>キュウヨ</t>
    </rPh>
    <rPh sb="2" eb="4">
      <t>ショトク</t>
    </rPh>
    <rPh sb="4" eb="6">
      <t>コウジョ</t>
    </rPh>
    <rPh sb="10" eb="12">
      <t>キュウヨ</t>
    </rPh>
    <rPh sb="12" eb="14">
      <t>シュウニュウ</t>
    </rPh>
    <rPh sb="14" eb="16">
      <t>クブン</t>
    </rPh>
    <phoneticPr fontId="2"/>
  </si>
  <si>
    <t>給与所得控除のための給与収入区分D</t>
    <rPh sb="0" eb="2">
      <t>キュウヨ</t>
    </rPh>
    <rPh sb="2" eb="4">
      <t>ショトク</t>
    </rPh>
    <rPh sb="4" eb="6">
      <t>コウジョ</t>
    </rPh>
    <rPh sb="10" eb="12">
      <t>キュウヨ</t>
    </rPh>
    <rPh sb="12" eb="14">
      <t>シュウニュウ</t>
    </rPh>
    <rPh sb="14" eb="16">
      <t>クブン</t>
    </rPh>
    <phoneticPr fontId="2"/>
  </si>
  <si>
    <t>給与所得控除のための給与収入区分E</t>
    <rPh sb="0" eb="2">
      <t>キュウヨ</t>
    </rPh>
    <rPh sb="2" eb="4">
      <t>ショトク</t>
    </rPh>
    <rPh sb="4" eb="6">
      <t>コウジョ</t>
    </rPh>
    <rPh sb="10" eb="12">
      <t>キュウヨ</t>
    </rPh>
    <rPh sb="12" eb="14">
      <t>シュウニュウ</t>
    </rPh>
    <rPh sb="14" eb="16">
      <t>クブン</t>
    </rPh>
    <phoneticPr fontId="2"/>
  </si>
  <si>
    <t>給与所得控除のための給与収入区分F</t>
    <rPh sb="0" eb="2">
      <t>キュウヨ</t>
    </rPh>
    <rPh sb="2" eb="4">
      <t>ショトク</t>
    </rPh>
    <rPh sb="4" eb="6">
      <t>コウジョ</t>
    </rPh>
    <rPh sb="10" eb="12">
      <t>キュウヨ</t>
    </rPh>
    <rPh sb="12" eb="14">
      <t>シュウニュウ</t>
    </rPh>
    <rPh sb="14" eb="16">
      <t>クブン</t>
    </rPh>
    <phoneticPr fontId="2"/>
  </si>
  <si>
    <t>給与所得控除のための給与収入区分G</t>
    <rPh sb="0" eb="2">
      <t>キュウヨ</t>
    </rPh>
    <rPh sb="2" eb="4">
      <t>ショトク</t>
    </rPh>
    <rPh sb="4" eb="6">
      <t>コウジョ</t>
    </rPh>
    <rPh sb="10" eb="12">
      <t>キュウヨ</t>
    </rPh>
    <rPh sb="12" eb="14">
      <t>シュウニュウ</t>
    </rPh>
    <rPh sb="14" eb="16">
      <t>クブン</t>
    </rPh>
    <phoneticPr fontId="2"/>
  </si>
  <si>
    <t>給与所得控除のための給与収入区分H</t>
    <rPh sb="0" eb="2">
      <t>キュウヨ</t>
    </rPh>
    <rPh sb="2" eb="4">
      <t>ショトク</t>
    </rPh>
    <rPh sb="4" eb="6">
      <t>コウジョ</t>
    </rPh>
    <rPh sb="10" eb="12">
      <t>キュウヨ</t>
    </rPh>
    <rPh sb="12" eb="14">
      <t>シュウニュウ</t>
    </rPh>
    <rPh sb="14" eb="16">
      <t>クブン</t>
    </rPh>
    <phoneticPr fontId="2"/>
  </si>
  <si>
    <t>給与所得控除のための給与収入区分I</t>
    <rPh sb="0" eb="2">
      <t>キュウヨ</t>
    </rPh>
    <rPh sb="2" eb="4">
      <t>ショトク</t>
    </rPh>
    <rPh sb="4" eb="6">
      <t>コウジョ</t>
    </rPh>
    <rPh sb="10" eb="12">
      <t>キュウヨ</t>
    </rPh>
    <rPh sb="12" eb="14">
      <t>シュウニュウ</t>
    </rPh>
    <rPh sb="14" eb="16">
      <t>クブン</t>
    </rPh>
    <phoneticPr fontId="2"/>
  </si>
  <si>
    <t>給与所得控除のための給与収入区分J</t>
    <rPh sb="0" eb="2">
      <t>キュウヨ</t>
    </rPh>
    <rPh sb="2" eb="4">
      <t>ショトク</t>
    </rPh>
    <rPh sb="4" eb="6">
      <t>コウジョ</t>
    </rPh>
    <rPh sb="10" eb="12">
      <t>キュウヨ</t>
    </rPh>
    <rPh sb="12" eb="14">
      <t>シュウニュウ</t>
    </rPh>
    <rPh sb="14" eb="16">
      <t>クブン</t>
    </rPh>
    <phoneticPr fontId="2"/>
  </si>
  <si>
    <t>文字列</t>
    <rPh sb="0" eb="3">
      <t>モジレツ</t>
    </rPh>
    <phoneticPr fontId="2"/>
  </si>
  <si>
    <t>651000未満の給与所得金額</t>
    <rPh sb="6" eb="8">
      <t>ミマン</t>
    </rPh>
    <rPh sb="9" eb="11">
      <t>キュウヨ</t>
    </rPh>
    <rPh sb="11" eb="13">
      <t>ショトク</t>
    </rPh>
    <rPh sb="13" eb="15">
      <t>キンガク</t>
    </rPh>
    <phoneticPr fontId="2"/>
  </si>
  <si>
    <t>給与収入金額-650000</t>
    <rPh sb="0" eb="1">
      <t>キュウヨ</t>
    </rPh>
    <rPh sb="1" eb="3">
      <t>シュウニュウ</t>
    </rPh>
    <rPh sb="3" eb="5">
      <t>キンガク</t>
    </rPh>
    <phoneticPr fontId="2"/>
  </si>
  <si>
    <t>1619000未満の給与所得金額</t>
    <rPh sb="7" eb="9">
      <t>ミマン</t>
    </rPh>
    <rPh sb="10" eb="12">
      <t>キュウヨ</t>
    </rPh>
    <rPh sb="12" eb="14">
      <t>ショトク</t>
    </rPh>
    <rPh sb="14" eb="16">
      <t>キンガク</t>
    </rPh>
    <phoneticPr fontId="2"/>
  </si>
  <si>
    <t>1620000未満の給与所得金額</t>
    <rPh sb="7" eb="9">
      <t>ミマン</t>
    </rPh>
    <rPh sb="10" eb="12">
      <t>キュウヨ</t>
    </rPh>
    <rPh sb="12" eb="14">
      <t>ショトク</t>
    </rPh>
    <rPh sb="14" eb="16">
      <t>キンガク</t>
    </rPh>
    <phoneticPr fontId="2"/>
  </si>
  <si>
    <t>1622000未満の給与所得金額</t>
    <rPh sb="7" eb="9">
      <t>ミマン</t>
    </rPh>
    <rPh sb="10" eb="12">
      <t>キュウヨ</t>
    </rPh>
    <rPh sb="12" eb="14">
      <t>ショトク</t>
    </rPh>
    <rPh sb="14" eb="16">
      <t>キンガク</t>
    </rPh>
    <phoneticPr fontId="2"/>
  </si>
  <si>
    <t>1624000未満の給与所得金額</t>
    <rPh sb="7" eb="9">
      <t>ミマン</t>
    </rPh>
    <rPh sb="10" eb="12">
      <t>キュウヨ</t>
    </rPh>
    <rPh sb="12" eb="14">
      <t>ショトク</t>
    </rPh>
    <rPh sb="14" eb="16">
      <t>キンガク</t>
    </rPh>
    <phoneticPr fontId="2"/>
  </si>
  <si>
    <t>1628000未満の給与所得金額</t>
    <rPh sb="7" eb="9">
      <t>ミマン</t>
    </rPh>
    <rPh sb="10" eb="12">
      <t>キュウヨ</t>
    </rPh>
    <rPh sb="12" eb="14">
      <t>ショトク</t>
    </rPh>
    <rPh sb="14" eb="16">
      <t>キンガク</t>
    </rPh>
    <phoneticPr fontId="2"/>
  </si>
  <si>
    <t>1800000未満の給与所得金額</t>
    <rPh sb="7" eb="9">
      <t>ミマン</t>
    </rPh>
    <rPh sb="10" eb="12">
      <t>キュウヨ</t>
    </rPh>
    <rPh sb="12" eb="14">
      <t>ショトク</t>
    </rPh>
    <rPh sb="14" eb="16">
      <t>キンガク</t>
    </rPh>
    <phoneticPr fontId="2"/>
  </si>
  <si>
    <t>3600000未満の給与所得金額</t>
    <rPh sb="7" eb="9">
      <t>ミマン</t>
    </rPh>
    <rPh sb="10" eb="12">
      <t>キュウヨ</t>
    </rPh>
    <rPh sb="12" eb="14">
      <t>ショトク</t>
    </rPh>
    <rPh sb="14" eb="16">
      <t>キンガク</t>
    </rPh>
    <phoneticPr fontId="2"/>
  </si>
  <si>
    <t>6600000未満の給与所得金額</t>
    <rPh sb="7" eb="9">
      <t>ミマン</t>
    </rPh>
    <rPh sb="10" eb="12">
      <t>キュウヨ</t>
    </rPh>
    <rPh sb="12" eb="14">
      <t>ショトク</t>
    </rPh>
    <rPh sb="14" eb="16">
      <t>キンガク</t>
    </rPh>
    <phoneticPr fontId="2"/>
  </si>
  <si>
    <t>給与収入金額*0.9-1200000</t>
    <rPh sb="0" eb="1">
      <t>キュウヨ</t>
    </rPh>
    <rPh sb="1" eb="3">
      <t>シュウニュウ</t>
    </rPh>
    <rPh sb="3" eb="5">
      <t>キンガク</t>
    </rPh>
    <phoneticPr fontId="2"/>
  </si>
  <si>
    <t>10000000未満の給与所得金額</t>
    <rPh sb="8" eb="10">
      <t>ミマン</t>
    </rPh>
    <rPh sb="11" eb="13">
      <t>キュウヨ</t>
    </rPh>
    <rPh sb="13" eb="15">
      <t>ショトク</t>
    </rPh>
    <rPh sb="15" eb="17">
      <t>キンガク</t>
    </rPh>
    <phoneticPr fontId="2"/>
  </si>
  <si>
    <t>給与収入金額-2200000</t>
    <rPh sb="0" eb="1">
      <t>キュウヨ</t>
    </rPh>
    <rPh sb="1" eb="3">
      <t>シュウニュウ</t>
    </rPh>
    <rPh sb="3" eb="5">
      <t>キンガク</t>
    </rPh>
    <phoneticPr fontId="2"/>
  </si>
  <si>
    <t>10000000以上の給与所得金額</t>
    <rPh sb="8" eb="10">
      <t>イジョウ</t>
    </rPh>
    <rPh sb="11" eb="13">
      <t>キュウヨ</t>
    </rPh>
    <rPh sb="13" eb="15">
      <t>ショトク</t>
    </rPh>
    <rPh sb="15" eb="17">
      <t>キンガク</t>
    </rPh>
    <phoneticPr fontId="2"/>
  </si>
  <si>
    <t>年金年齢区分</t>
    <rPh sb="0" eb="2">
      <t>ネンキン</t>
    </rPh>
    <rPh sb="2" eb="4">
      <t>ネンレイ</t>
    </rPh>
    <rPh sb="4" eb="6">
      <t>クブン</t>
    </rPh>
    <phoneticPr fontId="2"/>
  </si>
  <si>
    <t>年金65歳以上の収入区分1</t>
    <rPh sb="4" eb="5">
      <t>サイ</t>
    </rPh>
    <rPh sb="5" eb="7">
      <t>イジョウ</t>
    </rPh>
    <rPh sb="8" eb="10">
      <t>シュウニュウ</t>
    </rPh>
    <rPh sb="10" eb="12">
      <t>クブン</t>
    </rPh>
    <phoneticPr fontId="2"/>
  </si>
  <si>
    <t>年金65歳以上の収入区分2</t>
    <rPh sb="4" eb="5">
      <t>サイ</t>
    </rPh>
    <rPh sb="5" eb="7">
      <t>イジョウ</t>
    </rPh>
    <rPh sb="8" eb="10">
      <t>シュウニュウ</t>
    </rPh>
    <rPh sb="10" eb="12">
      <t>クブン</t>
    </rPh>
    <phoneticPr fontId="2"/>
  </si>
  <si>
    <t>年金65歳以上の収入区分3</t>
    <rPh sb="4" eb="5">
      <t>サイ</t>
    </rPh>
    <rPh sb="5" eb="7">
      <t>イジョウ</t>
    </rPh>
    <rPh sb="8" eb="10">
      <t>シュウニュウ</t>
    </rPh>
    <rPh sb="10" eb="12">
      <t>クブン</t>
    </rPh>
    <phoneticPr fontId="2"/>
  </si>
  <si>
    <t>年金65歳以上の収入区分4(平成33年度より使用)</t>
    <rPh sb="4" eb="5">
      <t>サイ</t>
    </rPh>
    <rPh sb="5" eb="7">
      <t>イジョウ</t>
    </rPh>
    <rPh sb="8" eb="10">
      <t>シュウニュウ</t>
    </rPh>
    <rPh sb="10" eb="12">
      <t>クブン</t>
    </rPh>
    <rPh sb="14" eb="16">
      <t>ヘイセイ</t>
    </rPh>
    <rPh sb="18" eb="20">
      <t>ネンド</t>
    </rPh>
    <rPh sb="22" eb="24">
      <t>シヨウ</t>
    </rPh>
    <phoneticPr fontId="2"/>
  </si>
  <si>
    <t>年金65歳未満の収入区分1</t>
    <rPh sb="4" eb="5">
      <t>サイ</t>
    </rPh>
    <rPh sb="5" eb="7">
      <t>ミマン</t>
    </rPh>
    <rPh sb="8" eb="10">
      <t>シュウニュウ</t>
    </rPh>
    <rPh sb="10" eb="12">
      <t>クブン</t>
    </rPh>
    <phoneticPr fontId="2"/>
  </si>
  <si>
    <t>年金65歳未満の収入区分2</t>
    <rPh sb="4" eb="5">
      <t>サイ</t>
    </rPh>
    <rPh sb="5" eb="7">
      <t>ミマン</t>
    </rPh>
    <rPh sb="8" eb="10">
      <t>シュウニュウ</t>
    </rPh>
    <rPh sb="10" eb="12">
      <t>クブン</t>
    </rPh>
    <phoneticPr fontId="2"/>
  </si>
  <si>
    <t>年金65歳未満の収入区分3</t>
    <rPh sb="4" eb="5">
      <t>サイ</t>
    </rPh>
    <rPh sb="5" eb="7">
      <t>ミマン</t>
    </rPh>
    <rPh sb="8" eb="10">
      <t>シュウニュウ</t>
    </rPh>
    <rPh sb="10" eb="12">
      <t>クブン</t>
    </rPh>
    <phoneticPr fontId="2"/>
  </si>
  <si>
    <t>年金65歳未満の収入区分4(平成33年度より使用)</t>
    <rPh sb="4" eb="5">
      <t>サイ</t>
    </rPh>
    <rPh sb="5" eb="7">
      <t>ミマン</t>
    </rPh>
    <rPh sb="8" eb="10">
      <t>シュウニュウ</t>
    </rPh>
    <rPh sb="10" eb="12">
      <t>クブン</t>
    </rPh>
    <rPh sb="14" eb="16">
      <t>ヘイセイ</t>
    </rPh>
    <rPh sb="18" eb="20">
      <t>ネンド</t>
    </rPh>
    <rPh sb="22" eb="24">
      <t>シヨウ</t>
    </rPh>
    <phoneticPr fontId="2"/>
  </si>
  <si>
    <t>収入金額-1200000</t>
    <rPh sb="0" eb="2">
      <t>シュウニュウ</t>
    </rPh>
    <rPh sb="2" eb="4">
      <t>キンガク</t>
    </rPh>
    <phoneticPr fontId="2"/>
  </si>
  <si>
    <t>65歳以上の年金所得額1</t>
    <rPh sb="2" eb="3">
      <t>サイ</t>
    </rPh>
    <rPh sb="3" eb="5">
      <t>イジョウ</t>
    </rPh>
    <rPh sb="6" eb="8">
      <t>ネンキン</t>
    </rPh>
    <rPh sb="8" eb="10">
      <t>ショトク</t>
    </rPh>
    <rPh sb="10" eb="11">
      <t>ガク</t>
    </rPh>
    <phoneticPr fontId="2"/>
  </si>
  <si>
    <t xml:space="preserve">収入金額*0.75-375000 </t>
    <phoneticPr fontId="2"/>
  </si>
  <si>
    <t>65歳以上の年金所得額2</t>
    <rPh sb="2" eb="3">
      <t>サイ</t>
    </rPh>
    <rPh sb="3" eb="5">
      <t>イジョウ</t>
    </rPh>
    <rPh sb="6" eb="8">
      <t>ネンキン</t>
    </rPh>
    <rPh sb="8" eb="10">
      <t>ショトク</t>
    </rPh>
    <rPh sb="10" eb="11">
      <t>ガク</t>
    </rPh>
    <phoneticPr fontId="2"/>
  </si>
  <si>
    <t xml:space="preserve">収入金額*0.85-785000 </t>
    <phoneticPr fontId="2"/>
  </si>
  <si>
    <t>65歳以上の年金所得額3</t>
    <rPh sb="2" eb="3">
      <t>サイ</t>
    </rPh>
    <rPh sb="3" eb="5">
      <t>イジョウ</t>
    </rPh>
    <rPh sb="6" eb="8">
      <t>ネンキン</t>
    </rPh>
    <rPh sb="8" eb="10">
      <t>ショトク</t>
    </rPh>
    <rPh sb="10" eb="11">
      <t>ガク</t>
    </rPh>
    <phoneticPr fontId="2"/>
  </si>
  <si>
    <t xml:space="preserve">収入金額*0.95-1555000 </t>
    <phoneticPr fontId="2"/>
  </si>
  <si>
    <t>65歳以上の年金所得額4</t>
    <rPh sb="2" eb="3">
      <t>サイ</t>
    </rPh>
    <rPh sb="3" eb="5">
      <t>イジョウ</t>
    </rPh>
    <rPh sb="6" eb="8">
      <t>ネンキン</t>
    </rPh>
    <rPh sb="8" eb="10">
      <t>ショトク</t>
    </rPh>
    <rPh sb="10" eb="11">
      <t>ガク</t>
    </rPh>
    <phoneticPr fontId="2"/>
  </si>
  <si>
    <t>収入金額-1995000</t>
    <rPh sb="0" eb="2">
      <t>シュウニュウ</t>
    </rPh>
    <rPh sb="2" eb="4">
      <t>キンガク</t>
    </rPh>
    <phoneticPr fontId="2"/>
  </si>
  <si>
    <t>65歳以上の年金所得額5(平成33年度より使用)</t>
    <rPh sb="2" eb="3">
      <t>サイ</t>
    </rPh>
    <rPh sb="3" eb="5">
      <t>イジョウ</t>
    </rPh>
    <rPh sb="6" eb="8">
      <t>ネンキン</t>
    </rPh>
    <rPh sb="8" eb="10">
      <t>ショトク</t>
    </rPh>
    <rPh sb="10" eb="11">
      <t>ガク</t>
    </rPh>
    <phoneticPr fontId="2"/>
  </si>
  <si>
    <t>収入金額-700000</t>
    <rPh sb="0" eb="2">
      <t>シュウニュウ</t>
    </rPh>
    <rPh sb="2" eb="4">
      <t>キンガク</t>
    </rPh>
    <phoneticPr fontId="2"/>
  </si>
  <si>
    <t>65歳未満の年金所得額1</t>
    <rPh sb="2" eb="3">
      <t>サイ</t>
    </rPh>
    <rPh sb="3" eb="5">
      <t>ミマン</t>
    </rPh>
    <rPh sb="6" eb="8">
      <t>ネンキン</t>
    </rPh>
    <rPh sb="8" eb="10">
      <t>ショトク</t>
    </rPh>
    <rPh sb="10" eb="11">
      <t>ガク</t>
    </rPh>
    <phoneticPr fontId="2"/>
  </si>
  <si>
    <t>65歳未満の年金所得額2</t>
    <rPh sb="2" eb="3">
      <t>サイ</t>
    </rPh>
    <rPh sb="6" eb="8">
      <t>ネンキン</t>
    </rPh>
    <rPh sb="8" eb="10">
      <t>ショトク</t>
    </rPh>
    <rPh sb="10" eb="11">
      <t>ガク</t>
    </rPh>
    <phoneticPr fontId="2"/>
  </si>
  <si>
    <t>65歳未満の年金所得額3</t>
    <rPh sb="2" eb="3">
      <t>サイ</t>
    </rPh>
    <rPh sb="6" eb="8">
      <t>ネンキン</t>
    </rPh>
    <rPh sb="8" eb="10">
      <t>ショトク</t>
    </rPh>
    <rPh sb="10" eb="11">
      <t>ガク</t>
    </rPh>
    <phoneticPr fontId="2"/>
  </si>
  <si>
    <t>65歳未満の年金所得額4</t>
    <rPh sb="2" eb="3">
      <t>サイ</t>
    </rPh>
    <rPh sb="6" eb="8">
      <t>ネンキン</t>
    </rPh>
    <rPh sb="8" eb="10">
      <t>ショトク</t>
    </rPh>
    <rPh sb="10" eb="11">
      <t>ガク</t>
    </rPh>
    <phoneticPr fontId="2"/>
  </si>
  <si>
    <t>65歳未満の年金所得額5(平成33年度より使用)</t>
    <rPh sb="2" eb="3">
      <t>サイ</t>
    </rPh>
    <rPh sb="6" eb="8">
      <t>ネンキン</t>
    </rPh>
    <rPh sb="8" eb="10">
      <t>ショトク</t>
    </rPh>
    <rPh sb="10" eb="11">
      <t>ガク</t>
    </rPh>
    <phoneticPr fontId="2"/>
  </si>
  <si>
    <t>配偶者控除（所得900以下）</t>
    <rPh sb="0" eb="3">
      <t>ハイグウシャ</t>
    </rPh>
    <rPh sb="3" eb="5">
      <t>コウジョ</t>
    </rPh>
    <rPh sb="6" eb="8">
      <t>ショトク</t>
    </rPh>
    <rPh sb="11" eb="13">
      <t>イカ</t>
    </rPh>
    <phoneticPr fontId="2"/>
  </si>
  <si>
    <t>配偶者控除（所得950以下）</t>
    <rPh sb="0" eb="3">
      <t>ハイグウシャ</t>
    </rPh>
    <rPh sb="3" eb="5">
      <t>コウジョ</t>
    </rPh>
    <rPh sb="6" eb="8">
      <t>ショトク</t>
    </rPh>
    <rPh sb="11" eb="13">
      <t>イカ</t>
    </rPh>
    <phoneticPr fontId="2"/>
  </si>
  <si>
    <t>配偶者控除（所得1000以下）</t>
    <rPh sb="0" eb="3">
      <t>ハイグウシャ</t>
    </rPh>
    <rPh sb="3" eb="5">
      <t>コウジョ</t>
    </rPh>
    <rPh sb="6" eb="8">
      <t>ショトク</t>
    </rPh>
    <rPh sb="12" eb="14">
      <t>イカ</t>
    </rPh>
    <phoneticPr fontId="2"/>
  </si>
  <si>
    <t>老人配偶者控除（所得900以下）</t>
    <rPh sb="0" eb="2">
      <t>ロウジン</t>
    </rPh>
    <rPh sb="2" eb="5">
      <t>ハイグウシャ</t>
    </rPh>
    <rPh sb="5" eb="7">
      <t>コウジョ</t>
    </rPh>
    <rPh sb="8" eb="10">
      <t>ショトク</t>
    </rPh>
    <rPh sb="13" eb="15">
      <t>イカ</t>
    </rPh>
    <phoneticPr fontId="2"/>
  </si>
  <si>
    <t>老人配偶者控除（所得950以下）</t>
    <rPh sb="0" eb="2">
      <t>ロウジン</t>
    </rPh>
    <rPh sb="2" eb="5">
      <t>ハイグウシャ</t>
    </rPh>
    <rPh sb="5" eb="7">
      <t>コウジョ</t>
    </rPh>
    <rPh sb="8" eb="10">
      <t>ショトク</t>
    </rPh>
    <rPh sb="13" eb="15">
      <t>イカ</t>
    </rPh>
    <phoneticPr fontId="2"/>
  </si>
  <si>
    <t>老人配偶者控除（所得1000以下）</t>
    <rPh sb="0" eb="2">
      <t>ロウジン</t>
    </rPh>
    <rPh sb="2" eb="5">
      <t>ハイグウシャ</t>
    </rPh>
    <rPh sb="5" eb="7">
      <t>コウジョ</t>
    </rPh>
    <rPh sb="8" eb="10">
      <t>ショトク</t>
    </rPh>
    <rPh sb="14" eb="16">
      <t>イカ</t>
    </rPh>
    <phoneticPr fontId="2"/>
  </si>
  <si>
    <t>配偶者特別控除（所得900以下・配偶者40未満）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</si>
  <si>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</si>
  <si>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</si>
  <si>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</si>
  <si>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</si>
  <si>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</si>
  <si>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</si>
  <si>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</si>
  <si>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</si>
  <si>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配偶者特別控除（所得900以下・配偶者12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</si>
  <si>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</si>
  <si>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</si>
  <si>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</si>
  <si>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</si>
  <si>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</si>
  <si>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</si>
  <si>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</si>
  <si>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</si>
  <si>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</si>
  <si>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配偶者特別控除（所得950以下・配偶者12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</si>
  <si>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配偶者特別控除（所得1000以下・配偶者40未満）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</si>
  <si>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配偶者特別控除（所得1000以下・配偶者45未満）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</si>
  <si>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配偶者特別控除（所得1000以下・配偶者90以下）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</si>
  <si>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配偶者特別控除（所得1000以下・配偶者95以下）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</si>
  <si>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配偶者特別控除（所得1000以下・配偶者100以下）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</si>
  <si>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配偶者特別控除（所得1000以下・配偶者105以下）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</si>
  <si>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</si>
  <si>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</si>
  <si>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配偶者特別控除（所得1000以下・配偶者120以下）</t>
    <rPh sb="0" eb="3">
      <t>ハイグウシャ</t>
    </rPh>
    <rPh sb="3" eb="5">
      <t>トクベツ</t>
    </rPh>
    <rPh sb="5" eb="7">
      <t>コウジョ</t>
    </rPh>
    <rPh sb="8" eb="10">
      <t>ショトク</t>
    </rPh>
    <rPh sb="14" eb="16">
      <t>イカ</t>
    </rPh>
    <rPh sb="17" eb="20">
      <t>ハイグウシャ</t>
    </rPh>
    <rPh sb="23" eb="25">
      <t>イカ</t>
    </rPh>
    <phoneticPr fontId="2"/>
  </si>
  <si>
    <r>
      <t>配偶者特別控除（所得1000以下・配偶者12</t>
    </r>
    <r>
      <rPr>
        <sz val="11"/>
        <rFont val="ＭＳ Ｐゴシック"/>
        <family val="3"/>
        <charset val="128"/>
        <scheme val="minor"/>
      </rPr>
      <t>3以下）</t>
    </r>
    <rPh sb="0" eb="3">
      <t>ハイグウシャ</t>
    </rPh>
    <rPh sb="3" eb="5">
      <t>トクベツ</t>
    </rPh>
    <rPh sb="5" eb="7">
      <t>コウジョ</t>
    </rPh>
    <rPh sb="8" eb="10">
      <t>ショトク</t>
    </rPh>
    <rPh sb="14" eb="16">
      <t>イカ</t>
    </rPh>
    <rPh sb="17" eb="20">
      <t>ハイグウシャ</t>
    </rPh>
    <rPh sb="23" eb="25">
      <t>イカ</t>
    </rPh>
    <phoneticPr fontId="2"/>
  </si>
  <si>
    <t>扶養控除（同老）</t>
    <rPh sb="0" eb="2">
      <t>フヨウ</t>
    </rPh>
    <rPh sb="2" eb="4">
      <t>コウジョ</t>
    </rPh>
    <rPh sb="5" eb="6">
      <t>ドウ</t>
    </rPh>
    <rPh sb="6" eb="7">
      <t>ロウ</t>
    </rPh>
    <phoneticPr fontId="2"/>
  </si>
  <si>
    <t>16歳未満扶養親族</t>
    <rPh sb="2" eb="5">
      <t>サイミマン</t>
    </rPh>
    <rPh sb="5" eb="7">
      <t>フヨウ</t>
    </rPh>
    <rPh sb="7" eb="9">
      <t>シンゾク</t>
    </rPh>
    <phoneticPr fontId="2"/>
  </si>
  <si>
    <t>特別寡婦控除</t>
    <rPh sb="0" eb="2">
      <t>トクベツ</t>
    </rPh>
    <rPh sb="2" eb="4">
      <t>カフ</t>
    </rPh>
    <rPh sb="4" eb="6">
      <t>コウジョ</t>
    </rPh>
    <phoneticPr fontId="2"/>
  </si>
  <si>
    <t>控除対象勤労学生</t>
    <rPh sb="0" eb="2">
      <t>コウジョ</t>
    </rPh>
    <rPh sb="2" eb="4">
      <t>タイショウ</t>
    </rPh>
    <rPh sb="4" eb="6">
      <t>キンロウ</t>
    </rPh>
    <rPh sb="6" eb="8">
      <t>ガクセイ</t>
    </rPh>
    <phoneticPr fontId="2"/>
  </si>
  <si>
    <t>非課税限度の1人当たりの金額</t>
    <rPh sb="0" eb="1">
      <t>ヒ</t>
    </rPh>
    <rPh sb="1" eb="3">
      <t>カゼイ</t>
    </rPh>
    <rPh sb="3" eb="5">
      <t>ゲンド</t>
    </rPh>
    <rPh sb="7" eb="8">
      <t>ニン</t>
    </rPh>
    <rPh sb="8" eb="9">
      <t>ア</t>
    </rPh>
    <rPh sb="12" eb="14">
      <t>キンガク</t>
    </rPh>
    <phoneticPr fontId="2"/>
  </si>
  <si>
    <t>非課税限度の加算額</t>
    <rPh sb="0" eb="1">
      <t>ヒ</t>
    </rPh>
    <rPh sb="1" eb="3">
      <t>カゼイ</t>
    </rPh>
    <rPh sb="3" eb="5">
      <t>ゲンド</t>
    </rPh>
    <rPh sb="6" eb="9">
      <t>カサンガク</t>
    </rPh>
    <phoneticPr fontId="2"/>
  </si>
  <si>
    <t>特定の場合の非課税の基準</t>
    <rPh sb="0" eb="2">
      <t>トクテイ</t>
    </rPh>
    <rPh sb="3" eb="5">
      <t>バアイ</t>
    </rPh>
    <rPh sb="6" eb="7">
      <t>ヒ</t>
    </rPh>
    <rPh sb="7" eb="9">
      <t>カゼイ</t>
    </rPh>
    <rPh sb="10" eb="12">
      <t>キジュン</t>
    </rPh>
    <phoneticPr fontId="2"/>
  </si>
  <si>
    <t>寡婦控除の基準</t>
    <rPh sb="0" eb="2">
      <t>カフ</t>
    </rPh>
    <rPh sb="2" eb="4">
      <t>コウジョ</t>
    </rPh>
    <rPh sb="5" eb="7">
      <t>キジュン</t>
    </rPh>
    <phoneticPr fontId="2"/>
  </si>
  <si>
    <t>所得金額調整控除の上限　H33以降より使用</t>
    <rPh sb="0" eb="2">
      <t>ショトク</t>
    </rPh>
    <rPh sb="2" eb="4">
      <t>キンガク</t>
    </rPh>
    <rPh sb="4" eb="6">
      <t>チョウセイ</t>
    </rPh>
    <rPh sb="6" eb="8">
      <t>コウジョ</t>
    </rPh>
    <rPh sb="9" eb="11">
      <t>ジョウゲン</t>
    </rPh>
    <rPh sb="15" eb="17">
      <t>イコウ</t>
    </rPh>
    <rPh sb="19" eb="21">
      <t>シヨウ</t>
    </rPh>
    <phoneticPr fontId="2"/>
  </si>
  <si>
    <t>非課税限度の共通加算額　H33以降より使用</t>
    <rPh sb="0" eb="1">
      <t>ヒ</t>
    </rPh>
    <rPh sb="1" eb="3">
      <t>カゼイ</t>
    </rPh>
    <rPh sb="3" eb="5">
      <t>ゲンド</t>
    </rPh>
    <rPh sb="6" eb="8">
      <t>キョウツウ</t>
    </rPh>
    <rPh sb="8" eb="11">
      <t>カサンガク</t>
    </rPh>
    <phoneticPr fontId="2"/>
  </si>
  <si>
    <t>勤労学生区分の所得上限</t>
    <rPh sb="0" eb="2">
      <t>キンロウ</t>
    </rPh>
    <rPh sb="2" eb="4">
      <t>ガクセイ</t>
    </rPh>
    <rPh sb="4" eb="6">
      <t>クブン</t>
    </rPh>
    <rPh sb="7" eb="9">
      <t>ショトク</t>
    </rPh>
    <rPh sb="9" eb="11">
      <t>ジョウゲン</t>
    </rPh>
    <phoneticPr fontId="2"/>
  </si>
  <si>
    <t>調整控除の合計所得金額の基準</t>
    <rPh sb="0" eb="2">
      <t>チョウセイ</t>
    </rPh>
    <rPh sb="2" eb="4">
      <t>コウジョ</t>
    </rPh>
    <rPh sb="5" eb="7">
      <t>ゴウケイ</t>
    </rPh>
    <rPh sb="7" eb="9">
      <t>ショトク</t>
    </rPh>
    <rPh sb="9" eb="11">
      <t>キンガク</t>
    </rPh>
    <rPh sb="12" eb="14">
      <t>キジュン</t>
    </rPh>
    <phoneticPr fontId="2"/>
  </si>
  <si>
    <t>調整控除の市町村民税のパーセンテージ</t>
    <rPh sb="0" eb="2">
      <t>チョウセイ</t>
    </rPh>
    <rPh sb="2" eb="4">
      <t>コウジョ</t>
    </rPh>
    <rPh sb="5" eb="8">
      <t>シチョウソン</t>
    </rPh>
    <rPh sb="8" eb="9">
      <t>ミン</t>
    </rPh>
    <rPh sb="9" eb="10">
      <t>ゼイ</t>
    </rPh>
    <phoneticPr fontId="2"/>
  </si>
  <si>
    <t>調整控除の基準額以上の場合の下限</t>
    <rPh sb="0" eb="2">
      <t>チョウセイ</t>
    </rPh>
    <rPh sb="2" eb="4">
      <t>コウジョ</t>
    </rPh>
    <rPh sb="5" eb="7">
      <t>キジュン</t>
    </rPh>
    <rPh sb="7" eb="8">
      <t>ガク</t>
    </rPh>
    <rPh sb="8" eb="10">
      <t>イジョウ</t>
    </rPh>
    <rPh sb="11" eb="13">
      <t>バアイ</t>
    </rPh>
    <rPh sb="14" eb="16">
      <t>カゲン</t>
    </rPh>
    <phoneticPr fontId="2"/>
  </si>
  <si>
    <t>配偶者控除区分</t>
    <rPh sb="0" eb="3">
      <t>ハイグウシャ</t>
    </rPh>
    <rPh sb="3" eb="5">
      <t>コウジョ</t>
    </rPh>
    <rPh sb="5" eb="7">
      <t>クブン</t>
    </rPh>
    <phoneticPr fontId="2"/>
  </si>
  <si>
    <t>給与収入金額JPY</t>
    <rPh sb="0" eb="2">
      <t>キュウヨ</t>
    </rPh>
    <rPh sb="2" eb="4">
      <t>シュウニュウ</t>
    </rPh>
    <rPh sb="4" eb="6">
      <t>キンガク</t>
    </rPh>
    <phoneticPr fontId="2"/>
  </si>
  <si>
    <t>項番</t>
    <rPh sb="0" eb="1">
      <t>コウ</t>
    </rPh>
    <rPh sb="1" eb="2">
      <t>バン</t>
    </rPh>
    <phoneticPr fontId="2"/>
  </si>
  <si>
    <t>社保控除のための給与収入区分１</t>
    <rPh sb="0" eb="1">
      <t>シャ</t>
    </rPh>
    <rPh sb="1" eb="2">
      <t>ホ</t>
    </rPh>
    <rPh sb="2" eb="4">
      <t>コウジョ</t>
    </rPh>
    <rPh sb="8" eb="10">
      <t>キュウヨ</t>
    </rPh>
    <rPh sb="10" eb="12">
      <t>シュウニュウ</t>
    </rPh>
    <rPh sb="12" eb="14">
      <t>クブン</t>
    </rPh>
    <phoneticPr fontId="2"/>
  </si>
  <si>
    <t>社保控除のための給与収入区分２</t>
    <rPh sb="0" eb="1">
      <t>シャ</t>
    </rPh>
    <rPh sb="1" eb="2">
      <t>ホ</t>
    </rPh>
    <rPh sb="2" eb="4">
      <t>コウジョ</t>
    </rPh>
    <rPh sb="8" eb="10">
      <t>キュウヨ</t>
    </rPh>
    <rPh sb="10" eb="12">
      <t>シュウニュウ</t>
    </rPh>
    <rPh sb="12" eb="14">
      <t>クブン</t>
    </rPh>
    <phoneticPr fontId="2"/>
  </si>
  <si>
    <t>社保控除のための給与収入区分３</t>
    <rPh sb="0" eb="1">
      <t>シャ</t>
    </rPh>
    <rPh sb="1" eb="2">
      <t>ホ</t>
    </rPh>
    <rPh sb="2" eb="4">
      <t>コウジョ</t>
    </rPh>
    <rPh sb="8" eb="10">
      <t>キュウヨ</t>
    </rPh>
    <rPh sb="10" eb="12">
      <t>シュウニュウ</t>
    </rPh>
    <rPh sb="12" eb="14">
      <t>クブン</t>
    </rPh>
    <phoneticPr fontId="2"/>
  </si>
  <si>
    <t>社保控除のための給与収入区分４</t>
    <rPh sb="0" eb="1">
      <t>シャ</t>
    </rPh>
    <rPh sb="1" eb="2">
      <t>ホ</t>
    </rPh>
    <rPh sb="2" eb="4">
      <t>コウジョ</t>
    </rPh>
    <rPh sb="8" eb="10">
      <t>キュウヨ</t>
    </rPh>
    <rPh sb="10" eb="12">
      <t>シュウニュウ</t>
    </rPh>
    <rPh sb="12" eb="14">
      <t>クブン</t>
    </rPh>
    <phoneticPr fontId="2"/>
  </si>
  <si>
    <t>社保控除のための給与収入区分５</t>
    <rPh sb="0" eb="1">
      <t>シャ</t>
    </rPh>
    <rPh sb="1" eb="2">
      <t>ホ</t>
    </rPh>
    <rPh sb="2" eb="4">
      <t>コウジョ</t>
    </rPh>
    <rPh sb="8" eb="10">
      <t>キュウヨ</t>
    </rPh>
    <rPh sb="10" eb="12">
      <t>シュウニュウ</t>
    </rPh>
    <rPh sb="12" eb="14">
      <t>クブン</t>
    </rPh>
    <phoneticPr fontId="2"/>
  </si>
  <si>
    <t>社保控除のための給与収入区分６</t>
    <rPh sb="0" eb="1">
      <t>シャ</t>
    </rPh>
    <rPh sb="1" eb="2">
      <t>ホ</t>
    </rPh>
    <rPh sb="2" eb="4">
      <t>コウジョ</t>
    </rPh>
    <rPh sb="8" eb="10">
      <t>キュウヨ</t>
    </rPh>
    <rPh sb="10" eb="12">
      <t>シュウニュウ</t>
    </rPh>
    <rPh sb="12" eb="14">
      <t>クブン</t>
    </rPh>
    <phoneticPr fontId="2"/>
  </si>
  <si>
    <t>社保控除のための給与収入区分７</t>
    <rPh sb="0" eb="1">
      <t>シャ</t>
    </rPh>
    <rPh sb="1" eb="2">
      <t>ホ</t>
    </rPh>
    <rPh sb="2" eb="4">
      <t>コウジョ</t>
    </rPh>
    <rPh sb="8" eb="10">
      <t>キュウヨ</t>
    </rPh>
    <rPh sb="10" eb="12">
      <t>シュウニュウ</t>
    </rPh>
    <rPh sb="12" eb="14">
      <t>クブン</t>
    </rPh>
    <phoneticPr fontId="2"/>
  </si>
  <si>
    <t>社保控除のための給与収入区分８</t>
    <rPh sb="0" eb="1">
      <t>シャ</t>
    </rPh>
    <rPh sb="1" eb="2">
      <t>ホ</t>
    </rPh>
    <rPh sb="2" eb="4">
      <t>コウジョ</t>
    </rPh>
    <rPh sb="8" eb="10">
      <t>キュウヨ</t>
    </rPh>
    <rPh sb="10" eb="12">
      <t>シュウニュウ</t>
    </rPh>
    <rPh sb="12" eb="14">
      <t>クブン</t>
    </rPh>
    <phoneticPr fontId="2"/>
  </si>
  <si>
    <t>社保控除のための給与収入区分９</t>
    <rPh sb="0" eb="1">
      <t>シャ</t>
    </rPh>
    <rPh sb="1" eb="2">
      <t>ホ</t>
    </rPh>
    <rPh sb="2" eb="4">
      <t>コウジョ</t>
    </rPh>
    <rPh sb="8" eb="10">
      <t>キュウヨ</t>
    </rPh>
    <rPh sb="10" eb="12">
      <t>シュウニュウ</t>
    </rPh>
    <rPh sb="12" eb="14">
      <t>クブン</t>
    </rPh>
    <phoneticPr fontId="2"/>
  </si>
  <si>
    <t>社保控除のための給与収入区分１０</t>
    <rPh sb="0" eb="1">
      <t>シャ</t>
    </rPh>
    <rPh sb="1" eb="2">
      <t>ホ</t>
    </rPh>
    <rPh sb="2" eb="4">
      <t>コウジョ</t>
    </rPh>
    <rPh sb="8" eb="10">
      <t>キュウヨ</t>
    </rPh>
    <rPh sb="10" eb="12">
      <t>シュウニュウ</t>
    </rPh>
    <rPh sb="12" eb="14">
      <t>クブン</t>
    </rPh>
    <phoneticPr fontId="2"/>
  </si>
  <si>
    <t>社保控除のための給与収入区分１１</t>
    <rPh sb="0" eb="1">
      <t>シャ</t>
    </rPh>
    <rPh sb="1" eb="2">
      <t>ホ</t>
    </rPh>
    <rPh sb="2" eb="4">
      <t>コウジョ</t>
    </rPh>
    <rPh sb="8" eb="10">
      <t>キュウヨ</t>
    </rPh>
    <rPh sb="10" eb="12">
      <t>シュウニュウ</t>
    </rPh>
    <rPh sb="12" eb="14">
      <t>クブン</t>
    </rPh>
    <phoneticPr fontId="2"/>
  </si>
  <si>
    <t>社保控除のための給与収入区分１２</t>
    <rPh sb="0" eb="1">
      <t>シャ</t>
    </rPh>
    <rPh sb="1" eb="2">
      <t>ホ</t>
    </rPh>
    <rPh sb="2" eb="4">
      <t>コウジョ</t>
    </rPh>
    <rPh sb="8" eb="10">
      <t>キュウヨ</t>
    </rPh>
    <rPh sb="10" eb="12">
      <t>シュウニュウ</t>
    </rPh>
    <rPh sb="12" eb="14">
      <t>クブン</t>
    </rPh>
    <phoneticPr fontId="2"/>
  </si>
  <si>
    <t>社保控除のための給与収入区分１３</t>
    <rPh sb="0" eb="1">
      <t>シャ</t>
    </rPh>
    <rPh sb="1" eb="2">
      <t>ホ</t>
    </rPh>
    <rPh sb="2" eb="4">
      <t>コウジョ</t>
    </rPh>
    <rPh sb="8" eb="10">
      <t>キュウヨ</t>
    </rPh>
    <rPh sb="10" eb="12">
      <t>シュウニュウ</t>
    </rPh>
    <rPh sb="12" eb="14">
      <t>クブン</t>
    </rPh>
    <phoneticPr fontId="2"/>
  </si>
  <si>
    <t>社保控除のための給与収入区分１４</t>
    <rPh sb="0" eb="1">
      <t>シャ</t>
    </rPh>
    <rPh sb="1" eb="2">
      <t>ホ</t>
    </rPh>
    <rPh sb="2" eb="4">
      <t>コウジョ</t>
    </rPh>
    <rPh sb="8" eb="10">
      <t>キュウヨ</t>
    </rPh>
    <rPh sb="10" eb="12">
      <t>シュウニュウ</t>
    </rPh>
    <rPh sb="12" eb="14">
      <t>クブン</t>
    </rPh>
    <phoneticPr fontId="2"/>
  </si>
  <si>
    <t>社保控除のための給与収入区分１５</t>
    <rPh sb="0" eb="1">
      <t>シャ</t>
    </rPh>
    <rPh sb="1" eb="2">
      <t>ホ</t>
    </rPh>
    <rPh sb="2" eb="4">
      <t>コウジョ</t>
    </rPh>
    <rPh sb="8" eb="10">
      <t>キュウヨ</t>
    </rPh>
    <rPh sb="10" eb="12">
      <t>シュウニュウ</t>
    </rPh>
    <rPh sb="12" eb="14">
      <t>クブン</t>
    </rPh>
    <phoneticPr fontId="2"/>
  </si>
  <si>
    <t>社保控除のための給与収入区分１６</t>
    <rPh sb="0" eb="1">
      <t>シャ</t>
    </rPh>
    <rPh sb="1" eb="2">
      <t>ホ</t>
    </rPh>
    <rPh sb="2" eb="4">
      <t>コウジョ</t>
    </rPh>
    <rPh sb="8" eb="10">
      <t>キュウヨ</t>
    </rPh>
    <rPh sb="10" eb="12">
      <t>シュウニュウ</t>
    </rPh>
    <rPh sb="12" eb="14">
      <t>クブン</t>
    </rPh>
    <phoneticPr fontId="2"/>
  </si>
  <si>
    <t>社保控除のための給与収入区分１７</t>
    <rPh sb="0" eb="1">
      <t>シャ</t>
    </rPh>
    <rPh sb="1" eb="2">
      <t>ホ</t>
    </rPh>
    <rPh sb="2" eb="4">
      <t>コウジョ</t>
    </rPh>
    <rPh sb="8" eb="10">
      <t>キュウヨ</t>
    </rPh>
    <rPh sb="10" eb="12">
      <t>シュウニュウ</t>
    </rPh>
    <rPh sb="12" eb="14">
      <t>クブン</t>
    </rPh>
    <phoneticPr fontId="2"/>
  </si>
  <si>
    <t>社保控除のための給与収入区分１８</t>
    <rPh sb="0" eb="1">
      <t>シャ</t>
    </rPh>
    <rPh sb="1" eb="2">
      <t>ホ</t>
    </rPh>
    <rPh sb="2" eb="4">
      <t>コウジョ</t>
    </rPh>
    <rPh sb="8" eb="10">
      <t>キュウヨ</t>
    </rPh>
    <rPh sb="10" eb="12">
      <t>シュウニュウ</t>
    </rPh>
    <rPh sb="12" eb="14">
      <t>クブン</t>
    </rPh>
    <phoneticPr fontId="2"/>
  </si>
  <si>
    <t>社保控除のための給与収入区分１９</t>
    <rPh sb="0" eb="1">
      <t>シャ</t>
    </rPh>
    <rPh sb="1" eb="2">
      <t>ホ</t>
    </rPh>
    <rPh sb="2" eb="4">
      <t>コウジョ</t>
    </rPh>
    <rPh sb="8" eb="10">
      <t>キュウヨ</t>
    </rPh>
    <rPh sb="10" eb="12">
      <t>シュウニュウ</t>
    </rPh>
    <rPh sb="12" eb="14">
      <t>クブン</t>
    </rPh>
    <phoneticPr fontId="2"/>
  </si>
  <si>
    <t>社保控除のための給与収入区分２０</t>
    <rPh sb="0" eb="1">
      <t>シャ</t>
    </rPh>
    <rPh sb="1" eb="2">
      <t>ホ</t>
    </rPh>
    <rPh sb="2" eb="4">
      <t>コウジョ</t>
    </rPh>
    <rPh sb="8" eb="10">
      <t>キュウヨ</t>
    </rPh>
    <rPh sb="10" eb="12">
      <t>シュウニュウ</t>
    </rPh>
    <rPh sb="12" eb="14">
      <t>クブン</t>
    </rPh>
    <phoneticPr fontId="2"/>
  </si>
  <si>
    <t>社保控除のための給与収入区分２１</t>
    <rPh sb="0" eb="1">
      <t>シャ</t>
    </rPh>
    <rPh sb="1" eb="2">
      <t>ホ</t>
    </rPh>
    <rPh sb="2" eb="4">
      <t>コウジョ</t>
    </rPh>
    <rPh sb="8" eb="10">
      <t>キュウヨ</t>
    </rPh>
    <rPh sb="10" eb="12">
      <t>シュウニュウ</t>
    </rPh>
    <rPh sb="12" eb="14">
      <t>クブン</t>
    </rPh>
    <phoneticPr fontId="2"/>
  </si>
  <si>
    <t>社保控除のための給与収入区分２２</t>
    <rPh sb="0" eb="1">
      <t>シャ</t>
    </rPh>
    <rPh sb="1" eb="2">
      <t>ホ</t>
    </rPh>
    <rPh sb="2" eb="4">
      <t>コウジョ</t>
    </rPh>
    <rPh sb="8" eb="10">
      <t>キュウヨ</t>
    </rPh>
    <rPh sb="10" eb="12">
      <t>シュウニュウ</t>
    </rPh>
    <rPh sb="12" eb="14">
      <t>クブン</t>
    </rPh>
    <phoneticPr fontId="2"/>
  </si>
  <si>
    <t>社保控除のための給与収入区分２３</t>
    <rPh sb="0" eb="1">
      <t>シャ</t>
    </rPh>
    <rPh sb="1" eb="2">
      <t>ホ</t>
    </rPh>
    <rPh sb="2" eb="4">
      <t>コウジョ</t>
    </rPh>
    <rPh sb="8" eb="10">
      <t>キュウヨ</t>
    </rPh>
    <rPh sb="10" eb="12">
      <t>シュウニュウ</t>
    </rPh>
    <rPh sb="12" eb="14">
      <t>クブン</t>
    </rPh>
    <phoneticPr fontId="2"/>
  </si>
  <si>
    <t>社保控除のための給与収入区分２４</t>
    <rPh sb="0" eb="1">
      <t>シャ</t>
    </rPh>
    <rPh sb="1" eb="2">
      <t>ホ</t>
    </rPh>
    <rPh sb="2" eb="4">
      <t>コウジョ</t>
    </rPh>
    <rPh sb="8" eb="10">
      <t>キュウヨ</t>
    </rPh>
    <rPh sb="10" eb="12">
      <t>シュウニュウ</t>
    </rPh>
    <rPh sb="12" eb="14">
      <t>クブン</t>
    </rPh>
    <phoneticPr fontId="2"/>
  </si>
  <si>
    <t>社保控除のための給与収入区分２５</t>
    <rPh sb="0" eb="1">
      <t>シャ</t>
    </rPh>
    <rPh sb="1" eb="2">
      <t>ホ</t>
    </rPh>
    <rPh sb="2" eb="4">
      <t>コウジョ</t>
    </rPh>
    <rPh sb="8" eb="10">
      <t>キュウヨ</t>
    </rPh>
    <rPh sb="10" eb="12">
      <t>シュウニュウ</t>
    </rPh>
    <rPh sb="12" eb="14">
      <t>クブン</t>
    </rPh>
    <phoneticPr fontId="2"/>
  </si>
  <si>
    <t>社保控除のための給与収入区分２６</t>
    <rPh sb="0" eb="1">
      <t>シャ</t>
    </rPh>
    <rPh sb="1" eb="2">
      <t>ホ</t>
    </rPh>
    <rPh sb="2" eb="4">
      <t>コウジョ</t>
    </rPh>
    <rPh sb="8" eb="10">
      <t>キュウヨ</t>
    </rPh>
    <rPh sb="10" eb="12">
      <t>シュウニュウ</t>
    </rPh>
    <rPh sb="12" eb="14">
      <t>クブン</t>
    </rPh>
    <phoneticPr fontId="2"/>
  </si>
  <si>
    <t>社保控除のための給与収入区分２７</t>
    <rPh sb="0" eb="1">
      <t>シャ</t>
    </rPh>
    <rPh sb="1" eb="2">
      <t>ホ</t>
    </rPh>
    <rPh sb="2" eb="4">
      <t>コウジョ</t>
    </rPh>
    <rPh sb="8" eb="10">
      <t>キュウヨ</t>
    </rPh>
    <rPh sb="10" eb="12">
      <t>シュウニュウ</t>
    </rPh>
    <rPh sb="12" eb="14">
      <t>クブン</t>
    </rPh>
    <phoneticPr fontId="2"/>
  </si>
  <si>
    <t>社保控除のための給与収入区分２８</t>
    <rPh sb="0" eb="1">
      <t>シャ</t>
    </rPh>
    <rPh sb="1" eb="2">
      <t>ホ</t>
    </rPh>
    <rPh sb="2" eb="4">
      <t>コウジョ</t>
    </rPh>
    <rPh sb="8" eb="10">
      <t>キュウヨ</t>
    </rPh>
    <rPh sb="10" eb="12">
      <t>シュウニュウ</t>
    </rPh>
    <rPh sb="12" eb="14">
      <t>クブン</t>
    </rPh>
    <phoneticPr fontId="2"/>
  </si>
  <si>
    <t>社保控除のための給与収入区分２９</t>
    <rPh sb="0" eb="1">
      <t>シャ</t>
    </rPh>
    <rPh sb="1" eb="2">
      <t>ホ</t>
    </rPh>
    <rPh sb="2" eb="4">
      <t>コウジョ</t>
    </rPh>
    <rPh sb="8" eb="10">
      <t>キュウヨ</t>
    </rPh>
    <rPh sb="10" eb="12">
      <t>シュウニュウ</t>
    </rPh>
    <rPh sb="12" eb="14">
      <t>クブン</t>
    </rPh>
    <phoneticPr fontId="2"/>
  </si>
  <si>
    <t>社保控除のための給与収入区分３０</t>
    <rPh sb="0" eb="1">
      <t>シャ</t>
    </rPh>
    <rPh sb="1" eb="2">
      <t>ホ</t>
    </rPh>
    <rPh sb="2" eb="4">
      <t>コウジョ</t>
    </rPh>
    <rPh sb="8" eb="10">
      <t>キュウヨ</t>
    </rPh>
    <rPh sb="10" eb="12">
      <t>シュウニュウ</t>
    </rPh>
    <rPh sb="12" eb="14">
      <t>クブン</t>
    </rPh>
    <phoneticPr fontId="2"/>
  </si>
  <si>
    <t>社保控除のための給与収入区分３１</t>
    <rPh sb="0" eb="1">
      <t>シャ</t>
    </rPh>
    <rPh sb="1" eb="2">
      <t>ホ</t>
    </rPh>
    <rPh sb="2" eb="4">
      <t>コウジョ</t>
    </rPh>
    <rPh sb="8" eb="10">
      <t>キュウヨ</t>
    </rPh>
    <rPh sb="10" eb="12">
      <t>シュウニュウ</t>
    </rPh>
    <rPh sb="12" eb="14">
      <t>クブン</t>
    </rPh>
    <phoneticPr fontId="2"/>
  </si>
  <si>
    <t>社保控除のための給与収入区分３２</t>
    <rPh sb="0" eb="1">
      <t>シャ</t>
    </rPh>
    <rPh sb="1" eb="2">
      <t>ホ</t>
    </rPh>
    <rPh sb="2" eb="4">
      <t>コウジョ</t>
    </rPh>
    <rPh sb="8" eb="10">
      <t>キュウヨ</t>
    </rPh>
    <rPh sb="10" eb="12">
      <t>シュウニュウ</t>
    </rPh>
    <rPh sb="12" eb="14">
      <t>クブン</t>
    </rPh>
    <phoneticPr fontId="2"/>
  </si>
  <si>
    <t>社保控除のための給与収入区分３３</t>
    <rPh sb="0" eb="1">
      <t>シャ</t>
    </rPh>
    <rPh sb="1" eb="2">
      <t>ホ</t>
    </rPh>
    <rPh sb="2" eb="4">
      <t>コウジョ</t>
    </rPh>
    <rPh sb="8" eb="10">
      <t>キュウヨ</t>
    </rPh>
    <rPh sb="10" eb="12">
      <t>シュウニュウ</t>
    </rPh>
    <rPh sb="12" eb="14">
      <t>クブン</t>
    </rPh>
    <phoneticPr fontId="2"/>
  </si>
  <si>
    <t>社保控除のための給与収入区分３４</t>
    <rPh sb="0" eb="1">
      <t>シャ</t>
    </rPh>
    <rPh sb="1" eb="2">
      <t>ホ</t>
    </rPh>
    <rPh sb="2" eb="4">
      <t>コウジョ</t>
    </rPh>
    <rPh sb="8" eb="10">
      <t>キュウヨ</t>
    </rPh>
    <rPh sb="10" eb="12">
      <t>シュウニュウ</t>
    </rPh>
    <rPh sb="12" eb="14">
      <t>クブン</t>
    </rPh>
    <phoneticPr fontId="2"/>
  </si>
  <si>
    <t>社保控除のための給与収入区分３５</t>
    <rPh sb="0" eb="1">
      <t>シャ</t>
    </rPh>
    <rPh sb="1" eb="2">
      <t>ホ</t>
    </rPh>
    <rPh sb="2" eb="4">
      <t>コウジョ</t>
    </rPh>
    <rPh sb="8" eb="10">
      <t>キュウヨ</t>
    </rPh>
    <rPh sb="10" eb="12">
      <t>シュウニュウ</t>
    </rPh>
    <rPh sb="12" eb="14">
      <t>クブン</t>
    </rPh>
    <phoneticPr fontId="2"/>
  </si>
  <si>
    <t>社保控除のための給与収入区分３６</t>
    <rPh sb="0" eb="1">
      <t>シャ</t>
    </rPh>
    <rPh sb="1" eb="2">
      <t>ホ</t>
    </rPh>
    <rPh sb="2" eb="4">
      <t>コウジョ</t>
    </rPh>
    <rPh sb="8" eb="10">
      <t>キュウヨ</t>
    </rPh>
    <rPh sb="10" eb="12">
      <t>シュウニュウ</t>
    </rPh>
    <rPh sb="12" eb="14">
      <t>クブン</t>
    </rPh>
    <phoneticPr fontId="2"/>
  </si>
  <si>
    <t>社保控除のための給与収入区分３７</t>
    <rPh sb="0" eb="1">
      <t>シャ</t>
    </rPh>
    <rPh sb="1" eb="2">
      <t>ホ</t>
    </rPh>
    <rPh sb="2" eb="4">
      <t>コウジョ</t>
    </rPh>
    <rPh sb="8" eb="10">
      <t>キュウヨ</t>
    </rPh>
    <rPh sb="10" eb="12">
      <t>シュウニュウ</t>
    </rPh>
    <rPh sb="12" eb="14">
      <t>クブン</t>
    </rPh>
    <phoneticPr fontId="2"/>
  </si>
  <si>
    <t>社保控除のための給与収入区分３８</t>
    <rPh sb="0" eb="1">
      <t>シャ</t>
    </rPh>
    <rPh sb="1" eb="2">
      <t>ホ</t>
    </rPh>
    <rPh sb="2" eb="4">
      <t>コウジョ</t>
    </rPh>
    <rPh sb="8" eb="10">
      <t>キュウヨ</t>
    </rPh>
    <rPh sb="10" eb="12">
      <t>シュウニュウ</t>
    </rPh>
    <rPh sb="12" eb="14">
      <t>クブン</t>
    </rPh>
    <phoneticPr fontId="2"/>
  </si>
  <si>
    <t>社保控除のための給与収入区分３９</t>
    <rPh sb="0" eb="1">
      <t>シャ</t>
    </rPh>
    <rPh sb="1" eb="2">
      <t>ホ</t>
    </rPh>
    <rPh sb="2" eb="4">
      <t>コウジョ</t>
    </rPh>
    <rPh sb="8" eb="10">
      <t>キュウヨ</t>
    </rPh>
    <rPh sb="10" eb="12">
      <t>シュウニュウ</t>
    </rPh>
    <rPh sb="12" eb="14">
      <t>クブン</t>
    </rPh>
    <phoneticPr fontId="2"/>
  </si>
  <si>
    <t>社保控除のための給与収入区分４０</t>
    <rPh sb="0" eb="1">
      <t>シャ</t>
    </rPh>
    <rPh sb="1" eb="2">
      <t>ホ</t>
    </rPh>
    <rPh sb="2" eb="4">
      <t>コウジョ</t>
    </rPh>
    <rPh sb="8" eb="10">
      <t>キュウヨ</t>
    </rPh>
    <rPh sb="10" eb="12">
      <t>シュウニュウ</t>
    </rPh>
    <rPh sb="12" eb="14">
      <t>クブン</t>
    </rPh>
    <phoneticPr fontId="2"/>
  </si>
  <si>
    <t>社保控除のための給与収入区分４１</t>
    <rPh sb="0" eb="1">
      <t>シャ</t>
    </rPh>
    <rPh sb="1" eb="2">
      <t>ホ</t>
    </rPh>
    <rPh sb="2" eb="4">
      <t>コウジョ</t>
    </rPh>
    <rPh sb="8" eb="10">
      <t>キュウヨ</t>
    </rPh>
    <rPh sb="10" eb="12">
      <t>シュウニュウ</t>
    </rPh>
    <rPh sb="12" eb="14">
      <t>クブン</t>
    </rPh>
    <phoneticPr fontId="2"/>
  </si>
  <si>
    <t>社保控除のための給与収入区分４２</t>
    <rPh sb="0" eb="1">
      <t>シャ</t>
    </rPh>
    <rPh sb="1" eb="2">
      <t>ホ</t>
    </rPh>
    <rPh sb="2" eb="4">
      <t>コウジョ</t>
    </rPh>
    <rPh sb="8" eb="10">
      <t>キュウヨ</t>
    </rPh>
    <rPh sb="10" eb="12">
      <t>シュウニュウ</t>
    </rPh>
    <rPh sb="12" eb="14">
      <t>クブン</t>
    </rPh>
    <phoneticPr fontId="2"/>
  </si>
  <si>
    <t>社保控除のための給与収入区分４３</t>
    <rPh sb="0" eb="1">
      <t>シャ</t>
    </rPh>
    <rPh sb="1" eb="2">
      <t>ホ</t>
    </rPh>
    <rPh sb="2" eb="4">
      <t>コウジョ</t>
    </rPh>
    <rPh sb="8" eb="10">
      <t>キュウヨ</t>
    </rPh>
    <rPh sb="10" eb="12">
      <t>シュウニュウ</t>
    </rPh>
    <rPh sb="12" eb="14">
      <t>クブン</t>
    </rPh>
    <phoneticPr fontId="2"/>
  </si>
  <si>
    <t>社保控除のための給与収入区分４４</t>
    <rPh sb="0" eb="1">
      <t>シャ</t>
    </rPh>
    <rPh sb="1" eb="2">
      <t>ホ</t>
    </rPh>
    <rPh sb="2" eb="4">
      <t>コウジョ</t>
    </rPh>
    <rPh sb="8" eb="10">
      <t>キュウヨ</t>
    </rPh>
    <rPh sb="10" eb="12">
      <t>シュウニュウ</t>
    </rPh>
    <rPh sb="12" eb="14">
      <t>クブン</t>
    </rPh>
    <phoneticPr fontId="2"/>
  </si>
  <si>
    <t>社保控除のための給与収入区分４５</t>
    <rPh sb="0" eb="1">
      <t>シャ</t>
    </rPh>
    <rPh sb="1" eb="2">
      <t>ホ</t>
    </rPh>
    <rPh sb="2" eb="4">
      <t>コウジョ</t>
    </rPh>
    <rPh sb="8" eb="10">
      <t>キュウヨ</t>
    </rPh>
    <rPh sb="10" eb="12">
      <t>シュウニュウ</t>
    </rPh>
    <rPh sb="12" eb="14">
      <t>クブン</t>
    </rPh>
    <phoneticPr fontId="2"/>
  </si>
  <si>
    <t>社保控除のための給与収入区分４６</t>
    <rPh sb="0" eb="1">
      <t>シャ</t>
    </rPh>
    <rPh sb="1" eb="2">
      <t>ホ</t>
    </rPh>
    <rPh sb="2" eb="4">
      <t>コウジョ</t>
    </rPh>
    <rPh sb="8" eb="10">
      <t>キュウヨ</t>
    </rPh>
    <rPh sb="10" eb="12">
      <t>シュウニュウ</t>
    </rPh>
    <rPh sb="12" eb="14">
      <t>クブン</t>
    </rPh>
    <phoneticPr fontId="2"/>
  </si>
  <si>
    <t>社保控除のための給与収入区分４７</t>
    <rPh sb="0" eb="1">
      <t>シャ</t>
    </rPh>
    <rPh sb="1" eb="2">
      <t>ホ</t>
    </rPh>
    <rPh sb="2" eb="4">
      <t>コウジョ</t>
    </rPh>
    <rPh sb="8" eb="10">
      <t>キュウヨ</t>
    </rPh>
    <rPh sb="10" eb="12">
      <t>シュウニュウ</t>
    </rPh>
    <rPh sb="12" eb="14">
      <t>クブン</t>
    </rPh>
    <phoneticPr fontId="2"/>
  </si>
  <si>
    <t>社保控除のための給与収入区分４８</t>
    <rPh sb="0" eb="1">
      <t>シャ</t>
    </rPh>
    <rPh sb="1" eb="2">
      <t>ホ</t>
    </rPh>
    <rPh sb="2" eb="4">
      <t>コウジョ</t>
    </rPh>
    <rPh sb="8" eb="10">
      <t>キュウヨ</t>
    </rPh>
    <rPh sb="10" eb="12">
      <t>シュウニュウ</t>
    </rPh>
    <rPh sb="12" eb="14">
      <t>クブン</t>
    </rPh>
    <phoneticPr fontId="2"/>
  </si>
  <si>
    <t>社保控除のための給与収入区分４９</t>
    <rPh sb="0" eb="1">
      <t>シャ</t>
    </rPh>
    <rPh sb="1" eb="2">
      <t>ホ</t>
    </rPh>
    <rPh sb="2" eb="4">
      <t>コウジョ</t>
    </rPh>
    <rPh sb="8" eb="10">
      <t>キュウヨ</t>
    </rPh>
    <rPh sb="10" eb="12">
      <t>シュウニュウ</t>
    </rPh>
    <rPh sb="12" eb="14">
      <t>クブン</t>
    </rPh>
    <phoneticPr fontId="2"/>
  </si>
  <si>
    <t>Rounddown(給与収入金額/4000,0)*4000*0.6</t>
    <phoneticPr fontId="2"/>
  </si>
  <si>
    <t>Rounddown(給与収入金額/4000,0)*4000*0.7-180000</t>
    <phoneticPr fontId="2"/>
  </si>
  <si>
    <t>Rounddown(給与収入金額/4000,0)*4000*0.8-540000</t>
    <phoneticPr fontId="2"/>
  </si>
  <si>
    <t>※給与収入金額=Kyuyoshunyu1またはKyuyoshunyu2</t>
    <rPh sb="1" eb="3">
      <t>キュウヨ</t>
    </rPh>
    <rPh sb="3" eb="5">
      <t>シュウニュウ</t>
    </rPh>
    <rPh sb="5" eb="7">
      <t>キンガク</t>
    </rPh>
    <phoneticPr fontId="2"/>
  </si>
  <si>
    <t>※Ｔ04には反映されていないが、実際にはT11の給与収入の区分に応じて上記の計算式を適用</t>
    <rPh sb="6" eb="8">
      <t>ハンエイ</t>
    </rPh>
    <rPh sb="16" eb="18">
      <t>ジッサイ</t>
    </rPh>
    <rPh sb="24" eb="26">
      <t>キュウヨ</t>
    </rPh>
    <rPh sb="26" eb="28">
      <t>シュウニュウ</t>
    </rPh>
    <rPh sb="29" eb="31">
      <t>クブン</t>
    </rPh>
    <rPh sb="32" eb="33">
      <t>オウ</t>
    </rPh>
    <rPh sb="35" eb="37">
      <t>ジョウキ</t>
    </rPh>
    <rPh sb="38" eb="40">
      <t>ケイサン</t>
    </rPh>
    <rPh sb="40" eb="41">
      <t>シキ</t>
    </rPh>
    <rPh sb="42" eb="44">
      <t>テキヨウ</t>
    </rPh>
    <phoneticPr fontId="2"/>
  </si>
  <si>
    <t>Aa</t>
    <phoneticPr fontId="2"/>
  </si>
  <si>
    <t>Ba</t>
    <phoneticPr fontId="2"/>
  </si>
  <si>
    <t>Ca</t>
    <phoneticPr fontId="2"/>
  </si>
  <si>
    <t>Ab</t>
    <phoneticPr fontId="2"/>
  </si>
  <si>
    <t>Ac</t>
    <phoneticPr fontId="2"/>
  </si>
  <si>
    <t>Ad</t>
    <phoneticPr fontId="2"/>
  </si>
  <si>
    <t>Ae</t>
    <phoneticPr fontId="2"/>
  </si>
  <si>
    <t>Af</t>
    <phoneticPr fontId="2"/>
  </si>
  <si>
    <t>Ag</t>
    <phoneticPr fontId="2"/>
  </si>
  <si>
    <t>Ah</t>
    <phoneticPr fontId="2"/>
  </si>
  <si>
    <t>Ai</t>
    <phoneticPr fontId="2"/>
  </si>
  <si>
    <t>Aj</t>
    <phoneticPr fontId="2"/>
  </si>
  <si>
    <t>Ak</t>
    <phoneticPr fontId="2"/>
  </si>
  <si>
    <t>Bb</t>
    <phoneticPr fontId="2"/>
  </si>
  <si>
    <t>Bc</t>
    <phoneticPr fontId="2"/>
  </si>
  <si>
    <t>Bd</t>
    <phoneticPr fontId="2"/>
  </si>
  <si>
    <t>Be</t>
    <phoneticPr fontId="2"/>
  </si>
  <si>
    <t>Bf</t>
    <phoneticPr fontId="2"/>
  </si>
  <si>
    <t>Bg</t>
    <phoneticPr fontId="2"/>
  </si>
  <si>
    <t>Bh</t>
    <phoneticPr fontId="2"/>
  </si>
  <si>
    <t>Bi</t>
    <phoneticPr fontId="2"/>
  </si>
  <si>
    <t>Bj</t>
    <phoneticPr fontId="2"/>
  </si>
  <si>
    <t>Bk</t>
    <phoneticPr fontId="2"/>
  </si>
  <si>
    <t>Cb</t>
    <phoneticPr fontId="2"/>
  </si>
  <si>
    <t>Cc</t>
    <phoneticPr fontId="2"/>
  </si>
  <si>
    <t>Cd</t>
    <phoneticPr fontId="2"/>
  </si>
  <si>
    <t>Ce</t>
    <phoneticPr fontId="2"/>
  </si>
  <si>
    <t>Cf</t>
    <phoneticPr fontId="2"/>
  </si>
  <si>
    <t>Cg</t>
    <phoneticPr fontId="2"/>
  </si>
  <si>
    <t>Ch</t>
    <phoneticPr fontId="2"/>
  </si>
  <si>
    <t>Ci</t>
    <phoneticPr fontId="2"/>
  </si>
  <si>
    <t>Cj</t>
    <phoneticPr fontId="2"/>
  </si>
  <si>
    <t>Ck</t>
    <phoneticPr fontId="2"/>
  </si>
  <si>
    <t>a</t>
    <phoneticPr fontId="2"/>
  </si>
  <si>
    <t>b</t>
    <phoneticPr fontId="2"/>
  </si>
  <si>
    <t>c</t>
    <phoneticPr fontId="2"/>
  </si>
  <si>
    <t>指定都市以外の市町村民税所得割税率</t>
    <rPh sb="0" eb="2">
      <t>シテイ</t>
    </rPh>
    <rPh sb="2" eb="4">
      <t>トシ</t>
    </rPh>
    <rPh sb="4" eb="6">
      <t>イガイ</t>
    </rPh>
    <rPh sb="7" eb="10">
      <t>シチョウソン</t>
    </rPh>
    <rPh sb="10" eb="11">
      <t>ミン</t>
    </rPh>
    <rPh sb="11" eb="12">
      <t>ゼイ</t>
    </rPh>
    <rPh sb="12" eb="14">
      <t>ショトク</t>
    </rPh>
    <rPh sb="14" eb="15">
      <t>ワリ</t>
    </rPh>
    <rPh sb="15" eb="17">
      <t>ゼイリツ</t>
    </rPh>
    <phoneticPr fontId="2"/>
  </si>
  <si>
    <t>指定都市の市町村民税所得割税率</t>
    <rPh sb="0" eb="2">
      <t>シテイ</t>
    </rPh>
    <rPh sb="2" eb="4">
      <t>トシ</t>
    </rPh>
    <rPh sb="5" eb="8">
      <t>シチョウソン</t>
    </rPh>
    <rPh sb="8" eb="9">
      <t>ミン</t>
    </rPh>
    <rPh sb="9" eb="10">
      <t>ゼイ</t>
    </rPh>
    <rPh sb="10" eb="12">
      <t>ショトク</t>
    </rPh>
    <rPh sb="12" eb="13">
      <t>ワリ</t>
    </rPh>
    <rPh sb="13" eb="15">
      <t>ゼイリツ</t>
    </rPh>
    <phoneticPr fontId="2"/>
  </si>
  <si>
    <t>課税標準額の単位</t>
    <rPh sb="0" eb="2">
      <t>カゼイ</t>
    </rPh>
    <rPh sb="2" eb="4">
      <t>ヒョウジュン</t>
    </rPh>
    <rPh sb="4" eb="5">
      <t>ガク</t>
    </rPh>
    <rPh sb="6" eb="8">
      <t>タンイ</t>
    </rPh>
    <phoneticPr fontId="2"/>
  </si>
  <si>
    <t>所得割額の単位</t>
    <rPh sb="0" eb="2">
      <t>ショトク</t>
    </rPh>
    <rPh sb="2" eb="3">
      <t>ワリ</t>
    </rPh>
    <rPh sb="3" eb="4">
      <t>ガク</t>
    </rPh>
    <rPh sb="5" eb="7">
      <t>タンイ</t>
    </rPh>
    <phoneticPr fontId="2"/>
  </si>
  <si>
    <t>配偶者（特別）控除額</t>
    <rPh sb="0" eb="3">
      <t>ハイグウシャ</t>
    </rPh>
    <rPh sb="4" eb="6">
      <t>トクベツ</t>
    </rPh>
    <rPh sb="7" eb="9">
      <t>コウジョ</t>
    </rPh>
    <rPh sb="9" eb="10">
      <t>ガク</t>
    </rPh>
    <phoneticPr fontId="2"/>
  </si>
  <si>
    <t>特別の障がい者である</t>
    <rPh sb="0" eb="2">
      <t>トクベツ</t>
    </rPh>
    <rPh sb="3" eb="4">
      <t>ショウ</t>
    </rPh>
    <rPh sb="6" eb="7">
      <t>シャ</t>
    </rPh>
    <phoneticPr fontId="2"/>
  </si>
  <si>
    <t>所得控除合計額</t>
    <rPh sb="0" eb="2">
      <t>ショトク</t>
    </rPh>
    <rPh sb="2" eb="4">
      <t>コウジョ</t>
    </rPh>
    <rPh sb="4" eb="6">
      <t>ゴウケイ</t>
    </rPh>
    <rPh sb="6" eb="7">
      <t>ガク</t>
    </rPh>
    <phoneticPr fontId="2"/>
  </si>
  <si>
    <t>配偶者（特別）の差額</t>
    <rPh sb="0" eb="3">
      <t>ハイグウシャ</t>
    </rPh>
    <rPh sb="4" eb="6">
      <t>トクベツ</t>
    </rPh>
    <rPh sb="8" eb="10">
      <t>サガク</t>
    </rPh>
    <phoneticPr fontId="2"/>
  </si>
  <si>
    <t>年金所得金額</t>
    <rPh sb="0" eb="2">
      <t>ネンキン</t>
    </rPh>
    <rPh sb="2" eb="4">
      <t>ショトク</t>
    </rPh>
    <rPh sb="4" eb="6">
      <t>キンガク</t>
    </rPh>
    <phoneticPr fontId="2"/>
  </si>
  <si>
    <t>年金収入金額JPY</t>
    <rPh sb="0" eb="2">
      <t>ネンキン</t>
    </rPh>
    <rPh sb="2" eb="4">
      <t>シュウニュウ</t>
    </rPh>
    <rPh sb="4" eb="6">
      <t>キンガク</t>
    </rPh>
    <phoneticPr fontId="2"/>
  </si>
  <si>
    <t>事業所得金額JPY</t>
    <rPh sb="0" eb="2">
      <t>ジギョウ</t>
    </rPh>
    <rPh sb="2" eb="4">
      <t>ショトク</t>
    </rPh>
    <rPh sb="4" eb="6">
      <t>キンガク</t>
    </rPh>
    <phoneticPr fontId="2"/>
  </si>
  <si>
    <t>給与収入金額の通貨</t>
    <rPh sb="0" eb="2">
      <t>キュウヨ</t>
    </rPh>
    <rPh sb="2" eb="4">
      <t>シュウニュウ</t>
    </rPh>
    <rPh sb="4" eb="6">
      <t>キンガク</t>
    </rPh>
    <rPh sb="7" eb="9">
      <t>ツウカ</t>
    </rPh>
    <phoneticPr fontId="2"/>
  </si>
  <si>
    <t>公的年金等収入の通貨</t>
    <rPh sb="0" eb="2">
      <t>コウテキ</t>
    </rPh>
    <rPh sb="2" eb="4">
      <t>ネンキン</t>
    </rPh>
    <rPh sb="4" eb="5">
      <t>トウ</t>
    </rPh>
    <rPh sb="5" eb="7">
      <t>シュウニュウ</t>
    </rPh>
    <rPh sb="8" eb="10">
      <t>ツウカ</t>
    </rPh>
    <phoneticPr fontId="2"/>
  </si>
  <si>
    <t>　給与収入金額</t>
    <rPh sb="1" eb="3">
      <t>キュウヨ</t>
    </rPh>
    <rPh sb="3" eb="5">
      <t>シュウニュウ</t>
    </rPh>
    <rPh sb="5" eb="7">
      <t>キンガク</t>
    </rPh>
    <phoneticPr fontId="2"/>
  </si>
  <si>
    <t>　公的年金等収入金額</t>
    <rPh sb="1" eb="3">
      <t>コウテキ</t>
    </rPh>
    <rPh sb="3" eb="5">
      <t>ネンキン</t>
    </rPh>
    <rPh sb="5" eb="6">
      <t>トウ</t>
    </rPh>
    <rPh sb="6" eb="8">
      <t>シュウニュウ</t>
    </rPh>
    <rPh sb="8" eb="10">
      <t>キンガク</t>
    </rPh>
    <phoneticPr fontId="2"/>
  </si>
  <si>
    <t>生計維持者１の氏名</t>
    <rPh sb="0" eb="2">
      <t>セイケイ</t>
    </rPh>
    <rPh sb="2" eb="4">
      <t>イジ</t>
    </rPh>
    <rPh sb="4" eb="5">
      <t>シャ</t>
    </rPh>
    <rPh sb="7" eb="9">
      <t>シメイ</t>
    </rPh>
    <phoneticPr fontId="2"/>
  </si>
  <si>
    <t>生計維持者２の氏名</t>
    <rPh sb="0" eb="2">
      <t>セイケイ</t>
    </rPh>
    <rPh sb="2" eb="4">
      <t>イジ</t>
    </rPh>
    <rPh sb="4" eb="5">
      <t>シャ</t>
    </rPh>
    <rPh sb="7" eb="9">
      <t>シメイ</t>
    </rPh>
    <phoneticPr fontId="2"/>
  </si>
  <si>
    <t>生計維持者１</t>
    <rPh sb="0" eb="2">
      <t>セイケイ</t>
    </rPh>
    <rPh sb="2" eb="4">
      <t>イジ</t>
    </rPh>
    <rPh sb="4" eb="5">
      <t>シャ</t>
    </rPh>
    <phoneticPr fontId="2"/>
  </si>
  <si>
    <t>生計維持者２</t>
    <rPh sb="0" eb="2">
      <t>セイケイ</t>
    </rPh>
    <rPh sb="2" eb="4">
      <t>イジ</t>
    </rPh>
    <rPh sb="4" eb="5">
      <t>シャ</t>
    </rPh>
    <phoneticPr fontId="2"/>
  </si>
  <si>
    <t>　給与収入金額の通貨</t>
    <rPh sb="1" eb="3">
      <t>キュウヨ</t>
    </rPh>
    <rPh sb="3" eb="5">
      <t>シュウニュウ</t>
    </rPh>
    <rPh sb="5" eb="7">
      <t>キンガク</t>
    </rPh>
    <rPh sb="8" eb="10">
      <t>ツウカ</t>
    </rPh>
    <phoneticPr fontId="2"/>
  </si>
  <si>
    <t>　　給与収入金額</t>
    <rPh sb="2" eb="4">
      <t>キュウヨ</t>
    </rPh>
    <rPh sb="4" eb="6">
      <t>シュウニュウ</t>
    </rPh>
    <rPh sb="6" eb="8">
      <t>キンガク</t>
    </rPh>
    <phoneticPr fontId="2"/>
  </si>
  <si>
    <t>生計維持者の基本情報</t>
    <rPh sb="0" eb="2">
      <t>セイケイ</t>
    </rPh>
    <rPh sb="2" eb="4">
      <t>イジ</t>
    </rPh>
    <rPh sb="4" eb="5">
      <t>シャ</t>
    </rPh>
    <rPh sb="6" eb="8">
      <t>キホン</t>
    </rPh>
    <rPh sb="8" eb="10">
      <t>ジョウホウ</t>
    </rPh>
    <phoneticPr fontId="2"/>
  </si>
  <si>
    <t>生計維持者の収入・所得の情報</t>
    <rPh sb="0" eb="2">
      <t>セイケイ</t>
    </rPh>
    <rPh sb="2" eb="4">
      <t>イジ</t>
    </rPh>
    <rPh sb="4" eb="5">
      <t>シャ</t>
    </rPh>
    <rPh sb="6" eb="8">
      <t>シュウニュウ</t>
    </rPh>
    <rPh sb="9" eb="11">
      <t>ショトク</t>
    </rPh>
    <rPh sb="12" eb="14">
      <t>ジョウホウ</t>
    </rPh>
    <phoneticPr fontId="2"/>
  </si>
  <si>
    <t>ｐ</t>
    <phoneticPr fontId="2"/>
  </si>
  <si>
    <t>申込者本人該当区分：扶養控除（一般）</t>
    <rPh sb="0" eb="2">
      <t>モウシコミ</t>
    </rPh>
    <rPh sb="2" eb="3">
      <t>シャ</t>
    </rPh>
    <rPh sb="3" eb="5">
      <t>ホンニン</t>
    </rPh>
    <rPh sb="5" eb="7">
      <t>ガイトウ</t>
    </rPh>
    <rPh sb="7" eb="9">
      <t>クブン</t>
    </rPh>
    <rPh sb="10" eb="12">
      <t>フヨウ</t>
    </rPh>
    <rPh sb="12" eb="14">
      <t>コウジョ</t>
    </rPh>
    <rPh sb="15" eb="17">
      <t>イッパン</t>
    </rPh>
    <phoneticPr fontId="2"/>
  </si>
  <si>
    <t>申込者本人該当区分：扶養控除（特定）</t>
    <rPh sb="3" eb="5">
      <t>ホンニン</t>
    </rPh>
    <rPh sb="5" eb="7">
      <t>ガイトウ</t>
    </rPh>
    <rPh sb="7" eb="9">
      <t>クブン</t>
    </rPh>
    <rPh sb="10" eb="12">
      <t>フヨウ</t>
    </rPh>
    <rPh sb="12" eb="14">
      <t>コウジョ</t>
    </rPh>
    <rPh sb="15" eb="17">
      <t>トクテイ</t>
    </rPh>
    <phoneticPr fontId="2"/>
  </si>
  <si>
    <t>申込者本人該当区分：障害者控除（一般）</t>
    <rPh sb="3" eb="5">
      <t>ホンニン</t>
    </rPh>
    <rPh sb="5" eb="7">
      <t>ガイトウ</t>
    </rPh>
    <rPh sb="7" eb="9">
      <t>クブン</t>
    </rPh>
    <rPh sb="10" eb="13">
      <t>ショウガイシャ</t>
    </rPh>
    <rPh sb="13" eb="15">
      <t>コウジョ</t>
    </rPh>
    <rPh sb="16" eb="18">
      <t>イッパン</t>
    </rPh>
    <phoneticPr fontId="2"/>
  </si>
  <si>
    <t>申込者本人該当区分：障害者控除（特定）</t>
    <rPh sb="3" eb="5">
      <t>ホンニン</t>
    </rPh>
    <rPh sb="5" eb="7">
      <t>ガイトウ</t>
    </rPh>
    <rPh sb="7" eb="9">
      <t>クブン</t>
    </rPh>
    <rPh sb="10" eb="13">
      <t>ショウガイシャ</t>
    </rPh>
    <rPh sb="13" eb="15">
      <t>コウジョ</t>
    </rPh>
    <rPh sb="16" eb="18">
      <t>トクテイ</t>
    </rPh>
    <phoneticPr fontId="2"/>
  </si>
  <si>
    <t>申込者本人該当区分：障害者控除（同特）</t>
    <rPh sb="3" eb="5">
      <t>ホンニン</t>
    </rPh>
    <rPh sb="5" eb="7">
      <t>ガイトウ</t>
    </rPh>
    <rPh sb="7" eb="9">
      <t>クブン</t>
    </rPh>
    <rPh sb="10" eb="13">
      <t>ショウガイシャ</t>
    </rPh>
    <rPh sb="13" eb="15">
      <t>コウジョ</t>
    </rPh>
    <rPh sb="16" eb="17">
      <t>ドウ</t>
    </rPh>
    <rPh sb="17" eb="18">
      <t>トク</t>
    </rPh>
    <phoneticPr fontId="2"/>
  </si>
  <si>
    <t>扶養されていない</t>
    <rPh sb="0" eb="2">
      <t>フヨウ</t>
    </rPh>
    <phoneticPr fontId="2"/>
  </si>
  <si>
    <t>申込者本人該当区分：扶養控除（16未満）</t>
    <rPh sb="0" eb="2">
      <t>モウシコミ</t>
    </rPh>
    <rPh sb="2" eb="3">
      <t>シャ</t>
    </rPh>
    <rPh sb="3" eb="5">
      <t>ホンニン</t>
    </rPh>
    <rPh sb="5" eb="7">
      <t>ガイトウ</t>
    </rPh>
    <rPh sb="7" eb="9">
      <t>クブン</t>
    </rPh>
    <rPh sb="10" eb="12">
      <t>フヨウ</t>
    </rPh>
    <rPh sb="12" eb="14">
      <t>コウジョ</t>
    </rPh>
    <rPh sb="17" eb="19">
      <t>ミマン</t>
    </rPh>
    <phoneticPr fontId="2"/>
  </si>
  <si>
    <t>＜署名欄＞</t>
    <rPh sb="1" eb="3">
      <t>ショメイ</t>
    </rPh>
    <rPh sb="3" eb="4">
      <t>ラン</t>
    </rPh>
    <phoneticPr fontId="2"/>
  </si>
  <si>
    <t>どちらの生計維持者に扶養されていますか</t>
    <rPh sb="4" eb="6">
      <t>セイケイ</t>
    </rPh>
    <rPh sb="6" eb="8">
      <t>イジ</t>
    </rPh>
    <rPh sb="8" eb="9">
      <t>シャ</t>
    </rPh>
    <rPh sb="10" eb="12">
      <t>フヨウ</t>
    </rPh>
    <phoneticPr fontId="2"/>
  </si>
  <si>
    <t>障がい者に該当していますか</t>
    <rPh sb="0" eb="1">
      <t>ショウ</t>
    </rPh>
    <rPh sb="3" eb="4">
      <t>シャ</t>
    </rPh>
    <rPh sb="5" eb="7">
      <t>ガイトウ</t>
    </rPh>
    <phoneticPr fontId="2"/>
  </si>
  <si>
    <t>　生計維持者と同居していますか</t>
    <rPh sb="1" eb="3">
      <t>セイケイ</t>
    </rPh>
    <rPh sb="3" eb="5">
      <t>イジ</t>
    </rPh>
    <rPh sb="5" eb="6">
      <t>シャ</t>
    </rPh>
    <rPh sb="7" eb="9">
      <t>ドウキョ</t>
    </rPh>
    <phoneticPr fontId="2"/>
  </si>
  <si>
    <t>寡婦または寡夫ですか</t>
    <rPh sb="0" eb="2">
      <t>カフ</t>
    </rPh>
    <rPh sb="5" eb="7">
      <t>カフ</t>
    </rPh>
    <phoneticPr fontId="2"/>
  </si>
  <si>
    <t>独立行政法人日本学生支援機構理事長　殿</t>
    <rPh sb="0" eb="2">
      <t>ドクリツ</t>
    </rPh>
    <rPh sb="2" eb="4">
      <t>ギョウセイ</t>
    </rPh>
    <rPh sb="4" eb="6">
      <t>ホウジン</t>
    </rPh>
    <rPh sb="6" eb="9">
      <t>ニホンガク</t>
    </rPh>
    <rPh sb="9" eb="10">
      <t>セイ</t>
    </rPh>
    <rPh sb="10" eb="12">
      <t>シエン</t>
    </rPh>
    <rPh sb="12" eb="14">
      <t>キコウ</t>
    </rPh>
    <rPh sb="14" eb="17">
      <t>リジチョウ</t>
    </rPh>
    <rPh sb="18" eb="19">
      <t>ドノ</t>
    </rPh>
    <phoneticPr fontId="2"/>
  </si>
  <si>
    <t>＜機構使用欄＞</t>
    <rPh sb="1" eb="3">
      <t>キコウ</t>
    </rPh>
    <rPh sb="3" eb="5">
      <t>シヨウ</t>
    </rPh>
    <rPh sb="5" eb="6">
      <t>ラン</t>
    </rPh>
    <phoneticPr fontId="2"/>
  </si>
  <si>
    <t>扶養親族等のうち一般障がい者の数</t>
    <rPh sb="0" eb="2">
      <t>フヨウ</t>
    </rPh>
    <rPh sb="2" eb="4">
      <t>シンゾク</t>
    </rPh>
    <rPh sb="4" eb="5">
      <t>トウ</t>
    </rPh>
    <rPh sb="8" eb="10">
      <t>イッパン</t>
    </rPh>
    <rPh sb="10" eb="11">
      <t>ショウ</t>
    </rPh>
    <rPh sb="13" eb="14">
      <t>シャ</t>
    </rPh>
    <rPh sb="15" eb="16">
      <t>カズ</t>
    </rPh>
    <phoneticPr fontId="1"/>
  </si>
  <si>
    <t>扶養親族等のうち同居していない特別障がい者の数</t>
    <rPh sb="0" eb="2">
      <t>フヨウ</t>
    </rPh>
    <rPh sb="2" eb="4">
      <t>シンゾク</t>
    </rPh>
    <rPh sb="4" eb="5">
      <t>トウ</t>
    </rPh>
    <rPh sb="8" eb="10">
      <t>ドウキョ</t>
    </rPh>
    <rPh sb="15" eb="17">
      <t>トクベツ</t>
    </rPh>
    <rPh sb="17" eb="18">
      <t>ショウ</t>
    </rPh>
    <rPh sb="20" eb="21">
      <t>シャ</t>
    </rPh>
    <rPh sb="22" eb="23">
      <t>カズ</t>
    </rPh>
    <phoneticPr fontId="1"/>
  </si>
  <si>
    <t>扶養親族等のうち同居特別障がい者の数</t>
    <rPh sb="0" eb="2">
      <t>フヨウ</t>
    </rPh>
    <rPh sb="2" eb="4">
      <t>シンゾク</t>
    </rPh>
    <rPh sb="4" eb="5">
      <t>トウ</t>
    </rPh>
    <rPh sb="8" eb="10">
      <t>ドウキョ</t>
    </rPh>
    <rPh sb="10" eb="12">
      <t>トクベツ</t>
    </rPh>
    <rPh sb="12" eb="13">
      <t>ショウ</t>
    </rPh>
    <rPh sb="15" eb="16">
      <t>シャ</t>
    </rPh>
    <rPh sb="17" eb="18">
      <t>カズ</t>
    </rPh>
    <phoneticPr fontId="1"/>
  </si>
  <si>
    <t>　　　　https://www.nta.go.jp/taxes/shiraberu/taxanswer/shotoku/1160.htm　(国税庁HP)</t>
    <phoneticPr fontId="2"/>
  </si>
  <si>
    <t>給与・年金以外の所得の通貨</t>
    <rPh sb="0" eb="2">
      <t>キュウヨ</t>
    </rPh>
    <rPh sb="3" eb="5">
      <t>ネンキン</t>
    </rPh>
    <rPh sb="5" eb="7">
      <t>イガイ</t>
    </rPh>
    <rPh sb="8" eb="10">
      <t>ショトク</t>
    </rPh>
    <rPh sb="11" eb="13">
      <t>ツウカ</t>
    </rPh>
    <phoneticPr fontId="2"/>
  </si>
  <si>
    <t>　給与・年金以外の所得の金額</t>
    <rPh sb="1" eb="3">
      <t>キュウヨ</t>
    </rPh>
    <rPh sb="4" eb="6">
      <t>ネンキン</t>
    </rPh>
    <rPh sb="6" eb="8">
      <t>イガイ</t>
    </rPh>
    <rPh sb="9" eb="11">
      <t>ショトク</t>
    </rPh>
    <rPh sb="12" eb="14">
      <t>キンガク</t>
    </rPh>
    <phoneticPr fontId="2"/>
  </si>
  <si>
    <t>　給与・年金以外の所得の通貨</t>
    <rPh sb="1" eb="3">
      <t>キュウヨ</t>
    </rPh>
    <rPh sb="4" eb="6">
      <t>ネンキン</t>
    </rPh>
    <rPh sb="6" eb="8">
      <t>イガイ</t>
    </rPh>
    <rPh sb="9" eb="11">
      <t>ショトク</t>
    </rPh>
    <rPh sb="12" eb="14">
      <t>ツウカ</t>
    </rPh>
    <phoneticPr fontId="2"/>
  </si>
  <si>
    <t>　　給与・年金以外の所得の金額</t>
    <rPh sb="2" eb="4">
      <t>キュウヨ</t>
    </rPh>
    <rPh sb="5" eb="7">
      <t>ネンキン</t>
    </rPh>
    <rPh sb="7" eb="9">
      <t>イガイ</t>
    </rPh>
    <rPh sb="10" eb="12">
      <t>ショトク</t>
    </rPh>
    <rPh sb="13" eb="15">
      <t>キンガク</t>
    </rPh>
    <phoneticPr fontId="2"/>
  </si>
  <si>
    <t>＜入力にあたって＞</t>
    <rPh sb="1" eb="3">
      <t>ニュウリョク</t>
    </rPh>
    <phoneticPr fontId="2"/>
  </si>
  <si>
    <t>　場合、生計維持者との関係を明らかにする書類も必要です。国内に居住している生計維持者については、マイナンバーを提出してください。</t>
    <rPh sb="1" eb="3">
      <t>バアイ</t>
    </rPh>
    <rPh sb="4" eb="6">
      <t>セイケイ</t>
    </rPh>
    <rPh sb="6" eb="8">
      <t>イジ</t>
    </rPh>
    <rPh sb="8" eb="9">
      <t>シャ</t>
    </rPh>
    <rPh sb="11" eb="13">
      <t>カンケイ</t>
    </rPh>
    <rPh sb="14" eb="15">
      <t>アキ</t>
    </rPh>
    <rPh sb="20" eb="22">
      <t>ショルイ</t>
    </rPh>
    <rPh sb="22" eb="24">
      <t>ショウショルイ</t>
    </rPh>
    <rPh sb="23" eb="25">
      <t>ヒツヨウ</t>
    </rPh>
    <rPh sb="28" eb="30">
      <t>コクナイ</t>
    </rPh>
    <rPh sb="31" eb="33">
      <t>キョジュウ</t>
    </rPh>
    <rPh sb="37" eb="39">
      <t>セイケイ</t>
    </rPh>
    <rPh sb="39" eb="41">
      <t>イジ</t>
    </rPh>
    <rPh sb="41" eb="42">
      <t>シャ</t>
    </rPh>
    <rPh sb="55" eb="57">
      <t>テイシュツ</t>
    </rPh>
    <phoneticPr fontId="2"/>
  </si>
  <si>
    <t>配偶者はいますか</t>
    <rPh sb="0" eb="3">
      <t>ハイグウシャ</t>
    </rPh>
    <phoneticPr fontId="2"/>
  </si>
  <si>
    <t>配偶者有無</t>
    <rPh sb="0" eb="3">
      <t>ハイグウシャ</t>
    </rPh>
    <rPh sb="3" eb="5">
      <t>ウム</t>
    </rPh>
    <phoneticPr fontId="2"/>
  </si>
  <si>
    <r>
      <t>生計維持者の扶養の情報</t>
    </r>
    <r>
      <rPr>
        <b/>
        <sz val="8"/>
        <color theme="1"/>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</si>
  <si>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　配偶者と同居していますか</t>
    <rPh sb="1" eb="4">
      <t>ハイグウシャ</t>
    </rPh>
    <rPh sb="5" eb="7">
      <t>ドウキョ</t>
    </rPh>
    <phoneticPr fontId="2"/>
  </si>
  <si>
    <t>給与・年金計</t>
    <rPh sb="0" eb="2">
      <t>キュウヨ</t>
    </rPh>
    <rPh sb="3" eb="5">
      <t>ネンキン</t>
    </rPh>
    <rPh sb="5" eb="6">
      <t>ケイ</t>
    </rPh>
    <phoneticPr fontId="2"/>
  </si>
  <si>
    <t>事業等所得</t>
    <rPh sb="0" eb="2">
      <t>ジギョウ</t>
    </rPh>
    <rPh sb="2" eb="3">
      <t>トウ</t>
    </rPh>
    <rPh sb="3" eb="5">
      <t>ショトク</t>
    </rPh>
    <phoneticPr fontId="2"/>
  </si>
  <si>
    <r>
      <t>　配偶者は生計維持者２ですか</t>
    </r>
    <r>
      <rPr>
        <sz val="6"/>
        <color theme="1"/>
        <rFont val="ＭＳ Ｐゴシック"/>
        <family val="3"/>
        <charset val="128"/>
        <scheme val="minor"/>
      </rPr>
      <t>※</t>
    </r>
    <rPh sb="1" eb="4">
      <t>ハイグウシャ</t>
    </rPh>
    <rPh sb="5" eb="7">
      <t>セイケイ</t>
    </rPh>
    <rPh sb="7" eb="9">
      <t>イジ</t>
    </rPh>
    <rPh sb="9" eb="10">
      <t>シャ</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</si>
  <si>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</si>
  <si>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</si>
  <si>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</si>
  <si>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</si>
  <si>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</si>
  <si>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</si>
  <si>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</si>
  <si>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</si>
  <si>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</si>
  <si>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</si>
  <si>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</si>
  <si>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</si>
  <si>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</si>
  <si>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</si>
  <si>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</si>
  <si>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</si>
  <si>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</si>
  <si>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</si>
  <si>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</si>
  <si>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</si>
  <si>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</si>
  <si>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</si>
  <si>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</si>
  <si>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</si>
  <si>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</si>
  <si>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</si>
  <si>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</si>
  <si>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</si>
  <si>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</si>
  <si>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</si>
  <si>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</si>
  <si>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</si>
  <si>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</si>
  <si>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</si>
  <si>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</si>
  <si>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</si>
  <si>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</si>
  <si>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</si>
  <si>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</si>
  <si>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</si>
  <si>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</si>
  <si>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</si>
  <si>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</si>
  <si>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</si>
  <si>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</si>
  <si>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</si>
  <si>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</si>
  <si>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記入にあたっての注意事項</t>
    <rPh sb="0" eb="2">
      <t>キニュウ</t>
    </rPh>
    <rPh sb="8" eb="10">
      <t>チュウイ</t>
    </rPh>
    <rPh sb="10" eb="12">
      <t>ジコウ</t>
    </rPh>
    <phoneticPr fontId="2"/>
  </si>
  <si>
    <t>(5)原則として、日本国外で得た収入については、その証明書に基づき、証明書に記載されているものと同じ通貨で申告する必要があります。これらの通貨は、当機構が日本円に換算して計算します。なお、各通貨の対円レートは、日本銀行が公表している１月分の報告省令レートに基づきます。ただし、米ドルのレートについては、日本銀行が公表している外国為替市況（１月１日時点で確認できる最新のもの）のうち、前営業日円インデックスを参照しています。</t>
    <rPh sb="3" eb="5">
      <t>ゲンソク</t>
    </rPh>
    <rPh sb="9" eb="11">
      <t>ニホン</t>
    </rPh>
    <rPh sb="11" eb="13">
      <t>コクガイ</t>
    </rPh>
    <rPh sb="14" eb="15">
      <t>エ</t>
    </rPh>
    <rPh sb="16" eb="18">
      <t>シュウニュウ</t>
    </rPh>
    <rPh sb="26" eb="29">
      <t>ショウメイショ</t>
    </rPh>
    <rPh sb="30" eb="31">
      <t>モト</t>
    </rPh>
    <rPh sb="34" eb="37">
      <t>ショウメイショ</t>
    </rPh>
    <rPh sb="38" eb="40">
      <t>キサイ</t>
    </rPh>
    <rPh sb="48" eb="49">
      <t>オナ</t>
    </rPh>
    <rPh sb="50" eb="52">
      <t>ツウカ</t>
    </rPh>
    <rPh sb="53" eb="55">
      <t>シンコク</t>
    </rPh>
    <rPh sb="57" eb="59">
      <t>ヒツヨウ</t>
    </rPh>
    <rPh sb="69" eb="71">
      <t>ツウカ</t>
    </rPh>
    <rPh sb="73" eb="74">
      <t>トウ</t>
    </rPh>
    <rPh sb="74" eb="76">
      <t>キコウ</t>
    </rPh>
    <rPh sb="77" eb="80">
      <t>ニホンエン</t>
    </rPh>
    <rPh sb="81" eb="83">
      <t>カンサン</t>
    </rPh>
    <rPh sb="85" eb="87">
      <t>ケイサン</t>
    </rPh>
    <rPh sb="94" eb="95">
      <t>カク</t>
    </rPh>
    <rPh sb="95" eb="97">
      <t>ツウカ</t>
    </rPh>
    <rPh sb="98" eb="100">
      <t>タイエン</t>
    </rPh>
    <rPh sb="105" eb="107">
      <t>ニッポン</t>
    </rPh>
    <rPh sb="107" eb="109">
      <t>ギンコウ</t>
    </rPh>
    <rPh sb="110" eb="112">
      <t>コウヒョウ</t>
    </rPh>
    <rPh sb="117" eb="119">
      <t>ガツブン</t>
    </rPh>
    <rPh sb="120" eb="122">
      <t>ホウコク</t>
    </rPh>
    <rPh sb="122" eb="124">
      <t>ショウレイ</t>
    </rPh>
    <rPh sb="128" eb="129">
      <t>モト</t>
    </rPh>
    <rPh sb="138" eb="139">
      <t>ベイ</t>
    </rPh>
    <rPh sb="151" eb="153">
      <t>ニッポン</t>
    </rPh>
    <rPh sb="153" eb="155">
      <t>ギンコウ</t>
    </rPh>
    <rPh sb="156" eb="158">
      <t>コウヒョウ</t>
    </rPh>
    <rPh sb="162" eb="164">
      <t>ガイコク</t>
    </rPh>
    <rPh sb="164" eb="166">
      <t>カワセ</t>
    </rPh>
    <rPh sb="166" eb="168">
      <t>シキョウ</t>
    </rPh>
    <rPh sb="170" eb="171">
      <t>ガツ</t>
    </rPh>
    <rPh sb="172" eb="173">
      <t>ニチ</t>
    </rPh>
    <rPh sb="173" eb="175">
      <t>ジテン</t>
    </rPh>
    <rPh sb="176" eb="178">
      <t>カクニン</t>
    </rPh>
    <rPh sb="181" eb="183">
      <t>サイシン</t>
    </rPh>
    <rPh sb="191" eb="192">
      <t>マエ</t>
    </rPh>
    <rPh sb="192" eb="195">
      <t>エイギョウビ</t>
    </rPh>
    <rPh sb="195" eb="196">
      <t>エン</t>
    </rPh>
    <rPh sb="203" eb="205">
      <t>サンショウ</t>
    </rPh>
    <phoneticPr fontId="2"/>
  </si>
  <si>
    <t>オーストラリア・ドル (AUD)</t>
  </si>
  <si>
    <t>機構　母</t>
    <rPh sb="0" eb="2">
      <t>キコウ</t>
    </rPh>
    <rPh sb="3" eb="4">
      <t>ハハ</t>
    </rPh>
    <phoneticPr fontId="2"/>
  </si>
  <si>
    <t>Kikou Chihi</t>
    <phoneticPr fontId="2"/>
  </si>
  <si>
    <t>14.・17.生計維持者が所得税法に定める（もしくは、所得税法の定めに該当すると考えられる）障害者であるかを選択します。</t>
    <rPh sb="27" eb="29">
      <t>ショトク</t>
    </rPh>
    <rPh sb="29" eb="31">
      <t>ゼイホウ</t>
    </rPh>
    <rPh sb="32" eb="33">
      <t>サダ</t>
    </rPh>
    <rPh sb="35" eb="37">
      <t>ガイトウ</t>
    </rPh>
    <rPh sb="40" eb="41">
      <t>カンガ</t>
    </rPh>
    <rPh sb="46" eb="49">
      <t>ショウガイシャ</t>
    </rPh>
    <phoneticPr fontId="2"/>
  </si>
  <si>
    <r>
      <t>署名欄・署名日は直筆である必要があります。印鑑がない場合、</t>
    </r>
    <r>
      <rPr>
        <sz val="10"/>
        <rFont val="ＭＳ Ｐゴシック"/>
        <family val="3"/>
        <charset val="128"/>
        <scheme val="minor"/>
      </rPr>
      <t>押印は不要です。</t>
    </r>
    <rPh sb="0" eb="2">
      <t>ショメイ</t>
    </rPh>
    <rPh sb="2" eb="3">
      <t>ラン</t>
    </rPh>
    <rPh sb="4" eb="6">
      <t>ショメイ</t>
    </rPh>
    <rPh sb="6" eb="7">
      <t>ビ</t>
    </rPh>
    <rPh sb="8" eb="10">
      <t>ジキヒツ</t>
    </rPh>
    <rPh sb="13" eb="15">
      <t>ヒツヨウ</t>
    </rPh>
    <rPh sb="21" eb="23">
      <t>インカン</t>
    </rPh>
    <rPh sb="26" eb="28">
      <t>バアイ</t>
    </rPh>
    <rPh sb="29" eb="31">
      <t>オウイン</t>
    </rPh>
    <rPh sb="32" eb="34">
      <t>フヨウ</t>
    </rPh>
    <phoneticPr fontId="2"/>
  </si>
  <si>
    <t>機構　太郎</t>
    <phoneticPr fontId="2"/>
  </si>
  <si>
    <t>機構　父</t>
    <phoneticPr fontId="2"/>
  </si>
  <si>
    <t>機構　母</t>
    <phoneticPr fontId="2"/>
  </si>
  <si>
    <t>必要添付書類</t>
    <rPh sb="0" eb="2">
      <t>ヒツヨウ</t>
    </rPh>
    <rPh sb="2" eb="4">
      <t>テンプ</t>
    </rPh>
    <rPh sb="4" eb="6">
      <t>ショルイ</t>
    </rPh>
    <phoneticPr fontId="2"/>
  </si>
  <si>
    <t>入力結果に応じて、必要な添付書類</t>
    <rPh sb="0" eb="2">
      <t>ニュウリョク</t>
    </rPh>
    <rPh sb="2" eb="4">
      <t>ケッカ</t>
    </rPh>
    <rPh sb="5" eb="6">
      <t>オウ</t>
    </rPh>
    <rPh sb="9" eb="11">
      <t>ヒツヨウ</t>
    </rPh>
    <rPh sb="12" eb="14">
      <t>テンプ</t>
    </rPh>
    <rPh sb="14" eb="16">
      <t>ショルイ</t>
    </rPh>
    <phoneticPr fontId="2"/>
  </si>
  <si>
    <t>に〇がつきます。機構HPで具体的な</t>
    <rPh sb="8" eb="10">
      <t>キコウ</t>
    </rPh>
    <rPh sb="13" eb="15">
      <t>グタイ</t>
    </rPh>
    <rPh sb="15" eb="16">
      <t>テキ</t>
    </rPh>
    <phoneticPr fontId="2"/>
  </si>
  <si>
    <t>必要書類を確認してください。</t>
    <rPh sb="0" eb="2">
      <t>ヒツヨウ</t>
    </rPh>
    <rPh sb="2" eb="4">
      <t>ショルイ</t>
    </rPh>
    <rPh sb="5" eb="7">
      <t>カクニン</t>
    </rPh>
    <phoneticPr fontId="2"/>
  </si>
  <si>
    <t>所得金額に関するもの</t>
    <rPh sb="0" eb="2">
      <t>ショトク</t>
    </rPh>
    <rPh sb="2" eb="4">
      <t>キンガク</t>
    </rPh>
    <rPh sb="5" eb="6">
      <t>カン</t>
    </rPh>
    <phoneticPr fontId="2"/>
  </si>
  <si>
    <t>○</t>
    <phoneticPr fontId="2"/>
  </si>
  <si>
    <t>寡婦控除（本人の場合は勤労学生控除）</t>
    <rPh sb="0" eb="2">
      <t>カフ</t>
    </rPh>
    <rPh sb="2" eb="4">
      <t>コウジョ</t>
    </rPh>
    <rPh sb="5" eb="7">
      <t>ホンニン</t>
    </rPh>
    <rPh sb="8" eb="10">
      <t>バアイ</t>
    </rPh>
    <rPh sb="11" eb="13">
      <t>キンロウ</t>
    </rPh>
    <rPh sb="13" eb="15">
      <t>ガクセイ</t>
    </rPh>
    <rPh sb="15" eb="17">
      <t>コウジョ</t>
    </rPh>
    <phoneticPr fontId="2"/>
  </si>
  <si>
    <t>海外居住者のための収入等申告書</t>
    <rPh sb="0" eb="2">
      <t>カイガイ</t>
    </rPh>
    <rPh sb="2" eb="5">
      <t>キョジュウシャ</t>
    </rPh>
    <rPh sb="9" eb="11">
      <t>シュウニュウ</t>
    </rPh>
    <rPh sb="11" eb="12">
      <t>トウ</t>
    </rPh>
    <rPh sb="12" eb="14">
      <t>シンコク</t>
    </rPh>
    <rPh sb="14" eb="15">
      <t>ショ</t>
    </rPh>
    <phoneticPr fontId="2"/>
  </si>
  <si>
    <t>障がい者に関するもの</t>
    <phoneticPr fontId="2"/>
  </si>
  <si>
    <t>ひとり親世帯に関するもの</t>
    <phoneticPr fontId="2"/>
  </si>
  <si>
    <t>世帯構成に関するもの</t>
    <phoneticPr fontId="2"/>
  </si>
  <si>
    <t>配偶者の所得に関するもの</t>
    <phoneticPr fontId="2"/>
  </si>
  <si>
    <t>（ yyyy / m / d ）</t>
    <phoneticPr fontId="2"/>
  </si>
  <si>
    <t>提出日</t>
    <rPh sb="0" eb="2">
      <t>テイシュツ</t>
    </rPh>
    <rPh sb="2" eb="3">
      <t>ビ</t>
    </rPh>
    <phoneticPr fontId="2"/>
  </si>
  <si>
    <t>本人生年月日</t>
    <rPh sb="0" eb="2">
      <t>ホンニン</t>
    </rPh>
    <rPh sb="2" eb="4">
      <t>セイネン</t>
    </rPh>
    <rPh sb="4" eb="6">
      <t>ガッピ</t>
    </rPh>
    <phoneticPr fontId="2"/>
  </si>
  <si>
    <t>　選択肢に存在しない通貨については、入力時に米ドルに換算（１月１日時点のレート）して、米ドルを選択して入力してください。</t>
    <rPh sb="18" eb="21">
      <t>ニュウリョクジ</t>
    </rPh>
    <rPh sb="43" eb="44">
      <t>ベイ</t>
    </rPh>
    <rPh sb="47" eb="49">
      <t>センタク</t>
    </rPh>
    <rPh sb="51" eb="53">
      <t>ニュウリョク</t>
    </rPh>
    <phoneticPr fontId="2"/>
  </si>
  <si>
    <t>１　国外に居住している全ての生計維持者の情報を入力したうえで印刷し、収入等の証明書類（和訳付）を添付してください。扶養親族がいる</t>
    <rPh sb="2" eb="4">
      <t>コクガイ</t>
    </rPh>
    <rPh sb="5" eb="7">
      <t>キョジュウ</t>
    </rPh>
    <rPh sb="11" eb="12">
      <t>スベ</t>
    </rPh>
    <rPh sb="14" eb="16">
      <t>セイケイ</t>
    </rPh>
    <rPh sb="16" eb="18">
      <t>イジ</t>
    </rPh>
    <rPh sb="18" eb="19">
      <t>シャ</t>
    </rPh>
    <rPh sb="20" eb="22">
      <t>ジョウホウ</t>
    </rPh>
    <rPh sb="23" eb="25">
      <t>ニュウリョク</t>
    </rPh>
    <rPh sb="30" eb="32">
      <t>インサツ</t>
    </rPh>
    <rPh sb="34" eb="36">
      <t>シュウニュウ</t>
    </rPh>
    <rPh sb="36" eb="37">
      <t>トウ</t>
    </rPh>
    <rPh sb="38" eb="40">
      <t>ショウメイ</t>
    </rPh>
    <rPh sb="40" eb="42">
      <t>ショルイ</t>
    </rPh>
    <rPh sb="43" eb="45">
      <t>ワヤク</t>
    </rPh>
    <rPh sb="45" eb="46">
      <t>ツ</t>
    </rPh>
    <rPh sb="48" eb="50">
      <t>テンプ</t>
    </rPh>
    <phoneticPr fontId="2"/>
  </si>
  <si>
    <t>A</t>
    <phoneticPr fontId="2"/>
  </si>
  <si>
    <t>B</t>
    <phoneticPr fontId="2"/>
  </si>
  <si>
    <t>　C-1</t>
    <phoneticPr fontId="2"/>
  </si>
  <si>
    <t>　C-2</t>
    <phoneticPr fontId="2"/>
  </si>
  <si>
    <t>36.～38.・45.～47.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</si>
  <si>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(2)この申告書は、PC・スマートフォン等により必要事項を入力した後に、印刷し、証明書類を添付して、当機構の指定する提出先に提出する必要があります。</t>
    <rPh sb="5" eb="7">
      <t>シンコク</t>
    </rPh>
    <rPh sb="7" eb="8">
      <t>ショ</t>
    </rPh>
    <rPh sb="20" eb="21">
      <t>トウ</t>
    </rPh>
    <rPh sb="24" eb="26">
      <t>ヒツヨウ</t>
    </rPh>
    <rPh sb="26" eb="28">
      <t>ジコウ</t>
    </rPh>
    <rPh sb="29" eb="31">
      <t>ニュウリョク</t>
    </rPh>
    <rPh sb="33" eb="34">
      <t>アト</t>
    </rPh>
    <rPh sb="36" eb="38">
      <t>インサツ</t>
    </rPh>
    <rPh sb="40" eb="42">
      <t>ショウメイ</t>
    </rPh>
    <rPh sb="42" eb="44">
      <t>ショルイ</t>
    </rPh>
    <rPh sb="45" eb="47">
      <t>テンプ</t>
    </rPh>
    <rPh sb="50" eb="51">
      <t>トウ</t>
    </rPh>
    <rPh sb="51" eb="53">
      <t>キコウ</t>
    </rPh>
    <rPh sb="54" eb="56">
      <t>シテイ</t>
    </rPh>
    <rPh sb="58" eb="60">
      <t>テイシュツ</t>
    </rPh>
    <rPh sb="60" eb="61">
      <t>サキ</t>
    </rPh>
    <rPh sb="62" eb="64">
      <t>テイシュツ</t>
    </rPh>
    <rPh sb="66" eb="68">
      <t>ヒツヨウ</t>
    </rPh>
    <phoneticPr fontId="2"/>
  </si>
  <si>
    <t>申込区分</t>
    <rPh sb="0" eb="2">
      <t>モウシコミ</t>
    </rPh>
    <rPh sb="2" eb="4">
      <t>クブン</t>
    </rPh>
    <phoneticPr fontId="2"/>
  </si>
  <si>
    <t>春の大学等在学採用</t>
    <rPh sb="0" eb="1">
      <t>ハル</t>
    </rPh>
    <rPh sb="2" eb="4">
      <t>ダイガク</t>
    </rPh>
    <rPh sb="4" eb="5">
      <t>トウ</t>
    </rPh>
    <rPh sb="5" eb="7">
      <t>ザイガク</t>
    </rPh>
    <rPh sb="7" eb="9">
      <t>サイヨウ</t>
    </rPh>
    <phoneticPr fontId="2"/>
  </si>
  <si>
    <t>秋の大学等在学採用</t>
    <rPh sb="0" eb="1">
      <t>アキ</t>
    </rPh>
    <rPh sb="2" eb="4">
      <t>ダイガク</t>
    </rPh>
    <rPh sb="4" eb="5">
      <t>トウ</t>
    </rPh>
    <rPh sb="5" eb="7">
      <t>ザイガク</t>
    </rPh>
    <rPh sb="7" eb="9">
      <t>サイヨウ</t>
    </rPh>
    <phoneticPr fontId="2"/>
  </si>
  <si>
    <t>高校等での予約採用</t>
    <rPh sb="0" eb="2">
      <t>コウコウ</t>
    </rPh>
    <rPh sb="2" eb="3">
      <t>トウ</t>
    </rPh>
    <rPh sb="5" eb="7">
      <t>ヨヤク</t>
    </rPh>
    <rPh sb="7" eb="9">
      <t>サイヨウ</t>
    </rPh>
    <phoneticPr fontId="2"/>
  </si>
  <si>
    <t>申込年度</t>
    <rPh sb="0" eb="2">
      <t>モウシコミ</t>
    </rPh>
    <rPh sb="2" eb="4">
      <t>ネンド</t>
    </rPh>
    <phoneticPr fontId="2"/>
  </si>
  <si>
    <t>区分</t>
    <rPh sb="0" eb="2">
      <t>クブン</t>
    </rPh>
    <phoneticPr fontId="2"/>
  </si>
  <si>
    <t>賦課期日</t>
    <rPh sb="0" eb="2">
      <t>フカ</t>
    </rPh>
    <rPh sb="2" eb="4">
      <t>キジツ</t>
    </rPh>
    <phoneticPr fontId="2"/>
  </si>
  <si>
    <t>経済基準の適格認定</t>
    <rPh sb="0" eb="2">
      <t>ケイザイ</t>
    </rPh>
    <rPh sb="2" eb="4">
      <t>キジュン</t>
    </rPh>
    <rPh sb="5" eb="7">
      <t>テキカク</t>
    </rPh>
    <rPh sb="7" eb="9">
      <t>ニンテイ</t>
    </rPh>
    <phoneticPr fontId="2"/>
  </si>
  <si>
    <t>対象の年度（西暦4桁）</t>
    <rPh sb="0" eb="2">
      <t>タイショウ</t>
    </rPh>
    <rPh sb="3" eb="5">
      <t>ネンド</t>
    </rPh>
    <rPh sb="6" eb="8">
      <t>セイレキ</t>
    </rPh>
    <rPh sb="9" eb="10">
      <t>ケタ</t>
    </rPh>
    <phoneticPr fontId="2"/>
  </si>
  <si>
    <t>前年当年区分（0=前年 1=当年）</t>
    <rPh sb="0" eb="2">
      <t>ゼンネン</t>
    </rPh>
    <rPh sb="2" eb="3">
      <t>トウ</t>
    </rPh>
    <rPh sb="3" eb="4">
      <t>ネン</t>
    </rPh>
    <rPh sb="4" eb="6">
      <t>クブン</t>
    </rPh>
    <rPh sb="9" eb="11">
      <t>ゼンネン</t>
    </rPh>
    <rPh sb="14" eb="15">
      <t>トウ</t>
    </rPh>
    <rPh sb="15" eb="16">
      <t>ネン</t>
    </rPh>
    <phoneticPr fontId="2"/>
  </si>
  <si>
    <t>生年月日（yyyy/mm/dd）</t>
    <rPh sb="0" eb="2">
      <t>セイネン</t>
    </rPh>
    <rPh sb="2" eb="4">
      <t>ガッピ</t>
    </rPh>
    <phoneticPr fontId="2"/>
  </si>
  <si>
    <t>生年月日（yyyy/m/d）</t>
    <rPh sb="0" eb="2">
      <t>セイネン</t>
    </rPh>
    <rPh sb="2" eb="4">
      <t>ガッピ</t>
    </rPh>
    <phoneticPr fontId="2"/>
  </si>
  <si>
    <t>年齢</t>
    <rPh sb="0" eb="2">
      <t>ネンレイ</t>
    </rPh>
    <phoneticPr fontId="2"/>
  </si>
  <si>
    <t>２　選択肢に存在する通貨のレートは、日本銀行が報告する本年１月分の報告省令レートに基づき当機構が換算します。</t>
    <rPh sb="2" eb="5">
      <t>センタクシ</t>
    </rPh>
    <rPh sb="6" eb="8">
      <t>ソンザイ</t>
    </rPh>
    <rPh sb="10" eb="12">
      <t>ツウカ</t>
    </rPh>
    <rPh sb="18" eb="20">
      <t>ニッポン</t>
    </rPh>
    <rPh sb="20" eb="22">
      <t>ギンコウ</t>
    </rPh>
    <rPh sb="23" eb="25">
      <t>ホウコク</t>
    </rPh>
    <rPh sb="27" eb="29">
      <t>ホンネン</t>
    </rPh>
    <rPh sb="30" eb="32">
      <t>ガツブン</t>
    </rPh>
    <rPh sb="33" eb="35">
      <t>ホウコク</t>
    </rPh>
    <rPh sb="35" eb="37">
      <t>ショウレイ</t>
    </rPh>
    <rPh sb="41" eb="42">
      <t>モト</t>
    </rPh>
    <rPh sb="44" eb="45">
      <t>トウ</t>
    </rPh>
    <rPh sb="45" eb="47">
      <t>キコウ</t>
    </rPh>
    <rPh sb="48" eb="50">
      <t>カンサン</t>
    </rPh>
    <phoneticPr fontId="2"/>
  </si>
  <si>
    <t>３　「障がい者」とは、所得税・住民税における障害者控除の条件を満たしている人をいいます。詳細な条件は下記をご参照ください。</t>
    <rPh sb="3" eb="4">
      <t>ショウ</t>
    </rPh>
    <rPh sb="6" eb="7">
      <t>シャ</t>
    </rPh>
    <rPh sb="28" eb="30">
      <t>ジョウケン</t>
    </rPh>
    <rPh sb="31" eb="32">
      <t>ミ</t>
    </rPh>
    <rPh sb="37" eb="38">
      <t>ヒト</t>
    </rPh>
    <phoneticPr fontId="2"/>
  </si>
  <si>
    <t>４　扶養親族及び障がい者に関する適切な証明書の添付が認められない場合、申告にかかわらず、該当者がいないものとして取り扱います。</t>
    <rPh sb="2" eb="4">
      <t>フヨウ</t>
    </rPh>
    <rPh sb="4" eb="6">
      <t>シンゾク</t>
    </rPh>
    <rPh sb="6" eb="7">
      <t>オヨ</t>
    </rPh>
    <rPh sb="8" eb="9">
      <t>ショウ</t>
    </rPh>
    <rPh sb="11" eb="12">
      <t>シャ</t>
    </rPh>
    <rPh sb="13" eb="14">
      <t>カン</t>
    </rPh>
    <rPh sb="16" eb="18">
      <t>テキセツ</t>
    </rPh>
    <rPh sb="19" eb="22">
      <t>ショウメイショ</t>
    </rPh>
    <rPh sb="23" eb="25">
      <t>テンプ</t>
    </rPh>
    <rPh sb="26" eb="27">
      <t>ミト</t>
    </rPh>
    <rPh sb="32" eb="34">
      <t>バアイ</t>
    </rPh>
    <rPh sb="35" eb="37">
      <t>シンコク</t>
    </rPh>
    <rPh sb="44" eb="47">
      <t>ガイトウシャ</t>
    </rPh>
    <rPh sb="56" eb="57">
      <t>ト</t>
    </rPh>
    <rPh sb="58" eb="59">
      <t>アツカ</t>
    </rPh>
    <phoneticPr fontId="2"/>
  </si>
  <si>
    <t>前年レートの年</t>
    <rPh sb="0" eb="2">
      <t>ゼンネン</t>
    </rPh>
    <rPh sb="6" eb="7">
      <t>ネン</t>
    </rPh>
    <phoneticPr fontId="2"/>
  </si>
  <si>
    <t>当年レートの年</t>
    <rPh sb="0" eb="2">
      <t>トウネン</t>
    </rPh>
    <rPh sb="6" eb="7">
      <t>ネン</t>
    </rPh>
    <phoneticPr fontId="2"/>
  </si>
  <si>
    <t>使用するレート</t>
    <rPh sb="0" eb="2">
      <t>シヨウ</t>
    </rPh>
    <phoneticPr fontId="2"/>
  </si>
  <si>
    <t>奨学生本人情報</t>
    <rPh sb="0" eb="3">
      <t>ショウガクセイ</t>
    </rPh>
    <rPh sb="3" eb="5">
      <t>ホンニン</t>
    </rPh>
    <rPh sb="5" eb="7">
      <t>ジョウホウ</t>
    </rPh>
    <phoneticPr fontId="2"/>
  </si>
  <si>
    <t>(4)父母のどちらかが離婚・死別している等で生計維持者が１名の場合は、生計維持者１の欄に入力してください。なお、生計維持者が２名とも１月１日時点で海外に居住しているために日本国内で住民税を課されていない場合には、この申告書１部で、生計維持者２名分の収入（所得）を申告することができます。</t>
    <rPh sb="20" eb="21">
      <t>トウ</t>
    </rPh>
    <rPh sb="22" eb="24">
      <t>セイケイ</t>
    </rPh>
    <rPh sb="24" eb="26">
      <t>イジ</t>
    </rPh>
    <rPh sb="26" eb="27">
      <t>シャ</t>
    </rPh>
    <rPh sb="29" eb="30">
      <t>メイ</t>
    </rPh>
    <rPh sb="42" eb="43">
      <t>ラン</t>
    </rPh>
    <rPh sb="44" eb="46">
      <t>ニュウリョク</t>
    </rPh>
    <rPh sb="56" eb="58">
      <t>セイケイ</t>
    </rPh>
    <rPh sb="58" eb="60">
      <t>イジ</t>
    </rPh>
    <rPh sb="60" eb="61">
      <t>シャ</t>
    </rPh>
    <rPh sb="63" eb="64">
      <t>メイ</t>
    </rPh>
    <rPh sb="67" eb="68">
      <t>ガツ</t>
    </rPh>
    <rPh sb="69" eb="70">
      <t>ニチ</t>
    </rPh>
    <rPh sb="70" eb="72">
      <t>ジテン</t>
    </rPh>
    <rPh sb="73" eb="75">
      <t>カイガイ</t>
    </rPh>
    <rPh sb="76" eb="78">
      <t>キョジュウ</t>
    </rPh>
    <rPh sb="85" eb="87">
      <t>ニホン</t>
    </rPh>
    <rPh sb="87" eb="89">
      <t>コクナイ</t>
    </rPh>
    <rPh sb="90" eb="93">
      <t>ジュウミンゼイ</t>
    </rPh>
    <rPh sb="94" eb="95">
      <t>カ</t>
    </rPh>
    <rPh sb="101" eb="103">
      <t>バアイ</t>
    </rPh>
    <rPh sb="112" eb="113">
      <t>ブ</t>
    </rPh>
    <rPh sb="115" eb="117">
      <t>セイケイ</t>
    </rPh>
    <rPh sb="117" eb="119">
      <t>イジ</t>
    </rPh>
    <rPh sb="119" eb="120">
      <t>シャ</t>
    </rPh>
    <rPh sb="121" eb="123">
      <t>メイブン</t>
    </rPh>
    <rPh sb="124" eb="126">
      <t>シュウニュウ</t>
    </rPh>
    <rPh sb="127" eb="129">
      <t>ショトク</t>
    </rPh>
    <rPh sb="131" eb="133">
      <t>シンコク</t>
    </rPh>
    <phoneticPr fontId="2"/>
  </si>
  <si>
    <t>12.11で「はい」を選択した場合のみ出現します。基本的に「はい」を選択してください。本人の両親がいずれも死去している場合等で、父母でない方が生計維持者である場合のみ、配偶者がいる場合は「いいえ」を選択してください。</t>
    <phoneticPr fontId="2"/>
  </si>
  <si>
    <t>※証明書が不足している場合は、改めてご提出いただきます。また、当申告書の内容について、連絡をする場合があります。</t>
    <rPh sb="1" eb="4">
      <t>ショウメイショ</t>
    </rPh>
    <rPh sb="5" eb="7">
      <t>フソク</t>
    </rPh>
    <rPh sb="11" eb="13">
      <t>バアイ</t>
    </rPh>
    <rPh sb="15" eb="16">
      <t>アラタ</t>
    </rPh>
    <rPh sb="19" eb="21">
      <t>テイシュツ</t>
    </rPh>
    <rPh sb="31" eb="32">
      <t>トウ</t>
    </rPh>
    <rPh sb="32" eb="34">
      <t>シンコク</t>
    </rPh>
    <rPh sb="34" eb="35">
      <t>ショ</t>
    </rPh>
    <rPh sb="36" eb="38">
      <t>ナイヨウ</t>
    </rPh>
    <rPh sb="43" eb="45">
      <t>レンラク</t>
    </rPh>
    <rPh sb="48" eb="50">
      <t>バアイ</t>
    </rPh>
    <phoneticPr fontId="2"/>
  </si>
  <si>
    <t>(3)本人やいずれかの生計維持者がマイナンバーを提出できる場合は、その人のマイナンバーは提出する必要があります。本人及び生計維持者２がマイナンバーを提出済で、生計維持者１のみが１月１日時点で海外に居住しておりマイナンバーを提出できていない場合、生計維持者１については本申告書を提出します。</t>
    <rPh sb="35" eb="36">
      <t>ヒト</t>
    </rPh>
    <phoneticPr fontId="2"/>
  </si>
  <si>
    <r>
      <t>　以下の</t>
    </r>
    <r>
      <rPr>
        <sz val="11"/>
        <rFont val="ＭＳ Ｐゴシック"/>
        <family val="3"/>
        <charset val="128"/>
        <scheme val="minor"/>
      </rPr>
      <t>奨学生</t>
    </r>
    <r>
      <rPr>
        <sz val="11"/>
        <rFont val="ＭＳ Ｐゴシック"/>
        <family val="2"/>
        <scheme val="minor"/>
      </rPr>
      <t>の適</t>
    </r>
    <r>
      <rPr>
        <sz val="11"/>
        <rFont val="ＭＳ Ｐゴシック"/>
        <family val="3"/>
        <charset val="128"/>
        <scheme val="minor"/>
      </rPr>
      <t>格認定（家計）</t>
    </r>
    <r>
      <rPr>
        <sz val="11"/>
        <rFont val="ＭＳ Ｐゴシック"/>
        <family val="2"/>
        <scheme val="minor"/>
      </rPr>
      <t>に際して、収入・所得等の情報を提出すべき者が１月１日時点で日本国外に居住しているため、その収入・所得等の情報を申告します。</t>
    </r>
    <rPh sb="1" eb="3">
      <t>イカ</t>
    </rPh>
    <rPh sb="4" eb="7">
      <t>ショウガクセイ</t>
    </rPh>
    <rPh sb="8" eb="10">
      <t>テキカク</t>
    </rPh>
    <rPh sb="10" eb="12">
      <t>ニンテイ</t>
    </rPh>
    <rPh sb="13" eb="15">
      <t>カケイ</t>
    </rPh>
    <rPh sb="17" eb="18">
      <t>サイ</t>
    </rPh>
    <rPh sb="21" eb="23">
      <t>シュウニュウ</t>
    </rPh>
    <rPh sb="24" eb="26">
      <t>ショトク</t>
    </rPh>
    <rPh sb="26" eb="27">
      <t>トウ</t>
    </rPh>
    <rPh sb="28" eb="30">
      <t>ジョウホウ</t>
    </rPh>
    <rPh sb="31" eb="33">
      <t>テイシュツ</t>
    </rPh>
    <rPh sb="36" eb="37">
      <t>シャ</t>
    </rPh>
    <rPh sb="39" eb="40">
      <t>ガツ</t>
    </rPh>
    <rPh sb="41" eb="42">
      <t>ニチ</t>
    </rPh>
    <rPh sb="42" eb="44">
      <t>ジテン</t>
    </rPh>
    <rPh sb="45" eb="47">
      <t>ニホン</t>
    </rPh>
    <rPh sb="47" eb="49">
      <t>コクガイ</t>
    </rPh>
    <rPh sb="50" eb="52">
      <t>キョジュウ</t>
    </rPh>
    <rPh sb="61" eb="63">
      <t>シュウニュウ</t>
    </rPh>
    <rPh sb="64" eb="66">
      <t>ショトク</t>
    </rPh>
    <rPh sb="66" eb="67">
      <t>トウ</t>
    </rPh>
    <rPh sb="68" eb="70">
      <t>ジョウホウ</t>
    </rPh>
    <rPh sb="71" eb="73">
      <t>シンコク</t>
    </rPh>
    <phoneticPr fontId="2"/>
  </si>
  <si>
    <r>
      <t>奨学生</t>
    </r>
    <r>
      <rPr>
        <sz val="11"/>
        <rFont val="ＭＳ Ｐゴシック"/>
        <family val="2"/>
        <scheme val="minor"/>
      </rPr>
      <t>番号</t>
    </r>
    <rPh sb="0" eb="3">
      <t>ショウガクセイ</t>
    </rPh>
    <rPh sb="3" eb="5">
      <t>バンゴウ</t>
    </rPh>
    <phoneticPr fontId="2"/>
  </si>
  <si>
    <r>
      <t>奨学生</t>
    </r>
    <r>
      <rPr>
        <sz val="11"/>
        <rFont val="ＭＳ Ｐゴシック"/>
        <family val="2"/>
        <scheme val="minor"/>
      </rPr>
      <t>本人氏名</t>
    </r>
    <rPh sb="0" eb="3">
      <t>ショウガクセイ</t>
    </rPh>
    <rPh sb="3" eb="5">
      <t>ホンニン</t>
    </rPh>
    <rPh sb="5" eb="7">
      <t>シメイ</t>
    </rPh>
    <phoneticPr fontId="2"/>
  </si>
  <si>
    <r>
      <t>奨学生</t>
    </r>
    <r>
      <rPr>
        <sz val="11"/>
        <rFont val="ＭＳ Ｐゴシック"/>
        <family val="2"/>
        <scheme val="minor"/>
      </rPr>
      <t>本人に収入（所得）がありますか</t>
    </r>
    <rPh sb="0" eb="3">
      <t>ショウガクセイ</t>
    </rPh>
    <rPh sb="3" eb="5">
      <t>ホンニン</t>
    </rPh>
    <rPh sb="6" eb="8">
      <t>シュウニュウ</t>
    </rPh>
    <rPh sb="9" eb="11">
      <t>ショトク</t>
    </rPh>
    <phoneticPr fontId="2"/>
  </si>
  <si>
    <r>
      <t>　配偶者は生計維持者２ですか</t>
    </r>
    <r>
      <rPr>
        <sz val="6"/>
        <rFont val="ＭＳ Ｐゴシック"/>
        <family val="3"/>
        <charset val="128"/>
        <scheme val="minor"/>
      </rPr>
      <t>※</t>
    </r>
    <rPh sb="1" eb="4">
      <t>ハイグウシャ</t>
    </rPh>
    <rPh sb="5" eb="7">
      <t>セイケイ</t>
    </rPh>
    <rPh sb="7" eb="9">
      <t>イジ</t>
    </rPh>
    <rPh sb="9" eb="10">
      <t>シャ</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</si>
  <si>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適格認定（家計）の前年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テキカク</t>
    </rPh>
    <rPh sb="108" eb="110">
      <t>ニンテイ</t>
    </rPh>
    <rPh sb="111" eb="113">
      <t>カケイ</t>
    </rPh>
    <rPh sb="115" eb="117">
      <t>ゼンネン</t>
    </rPh>
    <rPh sb="118" eb="119">
      <t>ガツ</t>
    </rPh>
    <rPh sb="120" eb="121">
      <t>ニチ</t>
    </rPh>
    <rPh sb="124" eb="125">
      <t>ガツ</t>
    </rPh>
    <rPh sb="127" eb="128">
      <t>ニチ</t>
    </rPh>
    <rPh sb="129" eb="130">
      <t>エ</t>
    </rPh>
    <rPh sb="131" eb="133">
      <t>シュウニュウ</t>
    </rPh>
    <rPh sb="134" eb="136">
      <t>ショトク</t>
    </rPh>
    <rPh sb="138" eb="140">
      <t>ガッサン</t>
    </rPh>
    <rPh sb="140" eb="141">
      <t>ガク</t>
    </rPh>
    <rPh sb="153" eb="155">
      <t>ゲツブン</t>
    </rPh>
    <rPh sb="156" eb="158">
      <t>テイシュツ</t>
    </rPh>
    <rPh sb="159" eb="161">
      <t>コンナン</t>
    </rPh>
    <rPh sb="162" eb="164">
      <t>バアイ</t>
    </rPh>
    <rPh sb="168" eb="169">
      <t>ガツ</t>
    </rPh>
    <rPh sb="172" eb="174">
      <t>ガツブン</t>
    </rPh>
    <rPh sb="175" eb="177">
      <t>シュウニュウ</t>
    </rPh>
    <rPh sb="178" eb="180">
      <t>ショトク</t>
    </rPh>
    <rPh sb="182" eb="184">
      <t>ガッサン</t>
    </rPh>
    <rPh sb="184" eb="185">
      <t>ガク</t>
    </rPh>
    <rPh sb="187" eb="188">
      <t>バイ</t>
    </rPh>
    <rPh sb="189" eb="191">
      <t>ニュウリョク</t>
    </rPh>
    <rPh sb="195" eb="196">
      <t>ガツ</t>
    </rPh>
    <rPh sb="199" eb="201">
      <t>ガツブン</t>
    </rPh>
    <rPh sb="215" eb="216">
      <t>カ</t>
    </rPh>
    <rPh sb="228" eb="230">
      <t>キュウヨ</t>
    </rPh>
    <rPh sb="233" eb="235">
      <t>ショトク</t>
    </rPh>
    <rPh sb="236" eb="238">
      <t>ジギョウ</t>
    </rPh>
    <rPh sb="238" eb="240">
      <t>ショトク</t>
    </rPh>
    <rPh sb="241" eb="244">
      <t>フドウサン</t>
    </rPh>
    <rPh sb="244" eb="246">
      <t>ショトク</t>
    </rPh>
    <rPh sb="247" eb="249">
      <t>ジョウト</t>
    </rPh>
    <rPh sb="249" eb="251">
      <t>ショトク</t>
    </rPh>
    <rPh sb="252" eb="254">
      <t>ハイトウ</t>
    </rPh>
    <rPh sb="254" eb="256">
      <t>ショトク</t>
    </rPh>
    <rPh sb="256" eb="257">
      <t>トウ</t>
    </rPh>
    <rPh sb="259" eb="261">
      <t>キュウヨ</t>
    </rPh>
    <rPh sb="261" eb="263">
      <t>シュウニュウ</t>
    </rPh>
    <rPh sb="263" eb="265">
      <t>キンガク</t>
    </rPh>
    <rPh sb="266" eb="267">
      <t>フク</t>
    </rPh>
    <rPh sb="281" eb="283">
      <t>コウテキ</t>
    </rPh>
    <rPh sb="283" eb="285">
      <t>ネンキン</t>
    </rPh>
    <rPh sb="285" eb="286">
      <t>トウ</t>
    </rPh>
    <rPh sb="288" eb="290">
      <t>ロウレイ</t>
    </rPh>
    <rPh sb="290" eb="292">
      <t>ネンキン</t>
    </rPh>
    <rPh sb="293" eb="294">
      <t>サ</t>
    </rPh>
    <rPh sb="298" eb="300">
      <t>イゾク</t>
    </rPh>
    <rPh sb="300" eb="302">
      <t>ネンキン</t>
    </rPh>
    <rPh sb="303" eb="305">
      <t>ショウガイ</t>
    </rPh>
    <rPh sb="305" eb="307">
      <t>ネンキン</t>
    </rPh>
    <rPh sb="311" eb="313">
      <t>セイド</t>
    </rPh>
    <rPh sb="314" eb="315">
      <t>フク</t>
    </rPh>
    <rPh sb="323" eb="325">
      <t>キュウヨ</t>
    </rPh>
    <rPh sb="326" eb="328">
      <t>ネンキン</t>
    </rPh>
    <rPh sb="328" eb="330">
      <t>イガイ</t>
    </rPh>
    <rPh sb="331" eb="333">
      <t>ショトク</t>
    </rPh>
    <rPh sb="337" eb="339">
      <t>ジギョウ</t>
    </rPh>
    <rPh sb="339" eb="341">
      <t>ショトク</t>
    </rPh>
    <rPh sb="342" eb="345">
      <t>フドウサン</t>
    </rPh>
    <rPh sb="345" eb="347">
      <t>ショトク</t>
    </rPh>
    <rPh sb="348" eb="350">
      <t>ジョウト</t>
    </rPh>
    <rPh sb="350" eb="352">
      <t>ショトク</t>
    </rPh>
    <rPh sb="353" eb="355">
      <t>ハイトウ</t>
    </rPh>
    <rPh sb="355" eb="357">
      <t>ショトク</t>
    </rPh>
    <rPh sb="357" eb="358">
      <t>トウ</t>
    </rPh>
    <rPh sb="359" eb="361">
      <t>ゴウケイ</t>
    </rPh>
    <rPh sb="361" eb="362">
      <t>ガク</t>
    </rPh>
    <rPh sb="363" eb="365">
      <t>ニュウリョク</t>
    </rPh>
    <phoneticPr fontId="2"/>
  </si>
  <si>
    <r>
      <t>生計維持者の扶養の情報</t>
    </r>
    <r>
      <rPr>
        <b/>
        <sz val="8"/>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</si>
  <si>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r>
      <t>署名日　</t>
    </r>
    <r>
      <rPr>
        <sz val="11"/>
        <rFont val="Kunstler Script"/>
        <family val="4"/>
      </rPr>
      <t>30/06/2019</t>
    </r>
    <rPh sb="0" eb="2">
      <t>ショメイ</t>
    </rPh>
    <rPh sb="2" eb="3">
      <t>ヒ</t>
    </rPh>
    <phoneticPr fontId="2"/>
  </si>
  <si>
    <r>
      <t>署名日　</t>
    </r>
    <r>
      <rPr>
        <sz val="11"/>
        <rFont val="HGS行書体"/>
        <family val="4"/>
        <charset val="128"/>
      </rPr>
      <t>2019年６月30日</t>
    </r>
    <rPh sb="0" eb="2">
      <t>ショメイ</t>
    </rPh>
    <rPh sb="2" eb="3">
      <t>ヒ</t>
    </rPh>
    <rPh sb="8" eb="9">
      <t>ネン</t>
    </rPh>
    <rPh sb="10" eb="11">
      <t>ガツ</t>
    </rPh>
    <rPh sb="13" eb="14">
      <t>ニチ</t>
    </rPh>
    <phoneticPr fontId="2"/>
  </si>
  <si>
    <t>　　なお、期限までにご提出いただけない場合、給付奨学金の支給が遅れるまたは停止されることがあります。</t>
    <rPh sb="22" eb="24">
      <t>キュウフ</t>
    </rPh>
    <rPh sb="24" eb="27">
      <t>ショウガクキン</t>
    </rPh>
    <rPh sb="28" eb="30">
      <t>シキュウ</t>
    </rPh>
    <rPh sb="31" eb="32">
      <t>オク</t>
    </rPh>
    <rPh sb="37" eb="39">
      <t>テイシ</t>
    </rPh>
    <phoneticPr fontId="2"/>
  </si>
  <si>
    <t>　以下の申込者の奨学金の申込に際して、収入・所得等の情報を提出すべき者が１月１日時点で日本国外に居住しているため、その収入・所得等の情報を申告します。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ジョウホウ</t>
    </rPh>
    <rPh sb="29" eb="31">
      <t>テイシュツ</t>
    </rPh>
    <rPh sb="34" eb="35">
      <t>シャ</t>
    </rPh>
    <rPh sb="37" eb="38">
      <t>ガツ</t>
    </rPh>
    <rPh sb="39" eb="40">
      <t>ニチ</t>
    </rPh>
    <rPh sb="40" eb="42">
      <t>ジテン</t>
    </rPh>
    <rPh sb="43" eb="45">
      <t>ニホン</t>
    </rPh>
    <rPh sb="45" eb="47">
      <t>コクガイ</t>
    </rPh>
    <rPh sb="48" eb="50">
      <t>キョジュウ</t>
    </rPh>
    <rPh sb="59" eb="61">
      <t>シュウニュウ</t>
    </rPh>
    <rPh sb="62" eb="64">
      <t>ショトク</t>
    </rPh>
    <rPh sb="64" eb="65">
      <t>トウ</t>
    </rPh>
    <rPh sb="66" eb="68">
      <t>ジョウホウ</t>
    </rPh>
    <rPh sb="69" eb="71">
      <t>シンコク</t>
    </rPh>
    <phoneticPr fontId="2"/>
  </si>
  <si>
    <t>（ yyyy / m / d ）</t>
    <phoneticPr fontId="2"/>
  </si>
  <si>
    <t>受付番号</t>
    <rPh sb="0" eb="2">
      <t>ウケツケ</t>
    </rPh>
    <rPh sb="2" eb="4">
      <t>バンゴウ</t>
    </rPh>
    <phoneticPr fontId="2"/>
  </si>
  <si>
    <t>－</t>
    <phoneticPr fontId="2"/>
  </si>
  <si>
    <t>申込者本人氏名</t>
    <rPh sb="0" eb="2">
      <t>モウシコミ</t>
    </rPh>
    <rPh sb="2" eb="3">
      <t>シャ</t>
    </rPh>
    <rPh sb="3" eb="5">
      <t>ホンニン</t>
    </rPh>
    <rPh sb="5" eb="7">
      <t>シメイ</t>
    </rPh>
    <phoneticPr fontId="2"/>
  </si>
  <si>
    <t>機構　太郎</t>
    <phoneticPr fontId="2"/>
  </si>
  <si>
    <t>機構　父</t>
    <phoneticPr fontId="2"/>
  </si>
  <si>
    <t>（ yyyy / m / d ）</t>
    <phoneticPr fontId="2"/>
  </si>
  <si>
    <t>機構　母</t>
    <phoneticPr fontId="2"/>
  </si>
  <si>
    <t>申込者本人情報</t>
    <rPh sb="0" eb="2">
      <t>モウシコミ</t>
    </rPh>
    <rPh sb="2" eb="3">
      <t>シャ</t>
    </rPh>
    <rPh sb="3" eb="5">
      <t>ホンニン</t>
    </rPh>
    <rPh sb="5" eb="7">
      <t>ジョウホウ</t>
    </rPh>
    <phoneticPr fontId="2"/>
  </si>
  <si>
    <t>01</t>
    <phoneticPr fontId="2"/>
  </si>
  <si>
    <t>02</t>
    <phoneticPr fontId="2"/>
  </si>
  <si>
    <t>03</t>
    <phoneticPr fontId="2"/>
  </si>
  <si>
    <t>04</t>
    <phoneticPr fontId="2"/>
  </si>
  <si>
    <t>○</t>
    <phoneticPr fontId="2"/>
  </si>
  <si>
    <t>05</t>
    <phoneticPr fontId="2"/>
  </si>
  <si>
    <t>申込者本人に収入（所得）がありますか</t>
    <rPh sb="0" eb="2">
      <t>モウシコミ</t>
    </rPh>
    <rPh sb="2" eb="3">
      <t>シャ</t>
    </rPh>
    <rPh sb="3" eb="5">
      <t>ホンニン</t>
    </rPh>
    <rPh sb="6" eb="8">
      <t>シュウニュウ</t>
    </rPh>
    <rPh sb="9" eb="11">
      <t>ショトク</t>
    </rPh>
    <phoneticPr fontId="2"/>
  </si>
  <si>
    <t>配偶者の所得に関するもの</t>
    <phoneticPr fontId="2"/>
  </si>
  <si>
    <t>06</t>
    <phoneticPr fontId="2"/>
  </si>
  <si>
    <t>世帯構成に関するもの</t>
    <phoneticPr fontId="2"/>
  </si>
  <si>
    <t>07</t>
    <phoneticPr fontId="2"/>
  </si>
  <si>
    <t>ひとり親世帯に関するもの</t>
    <phoneticPr fontId="2"/>
  </si>
  <si>
    <t>08</t>
    <phoneticPr fontId="2"/>
  </si>
  <si>
    <t>障がい者に関するもの</t>
    <phoneticPr fontId="2"/>
  </si>
  <si>
    <t>09</t>
    <phoneticPr fontId="2"/>
  </si>
  <si>
    <t>10</t>
    <phoneticPr fontId="2"/>
  </si>
  <si>
    <t>16</t>
    <phoneticPr fontId="2"/>
  </si>
  <si>
    <t>11</t>
    <phoneticPr fontId="2"/>
  </si>
  <si>
    <t>12</t>
    <phoneticPr fontId="2"/>
  </si>
  <si>
    <t>13</t>
    <phoneticPr fontId="2"/>
  </si>
  <si>
    <t>14</t>
    <phoneticPr fontId="2"/>
  </si>
  <si>
    <t>17</t>
    <phoneticPr fontId="2"/>
  </si>
  <si>
    <t>15</t>
    <phoneticPr fontId="2"/>
  </si>
  <si>
    <t>18</t>
    <phoneticPr fontId="2"/>
  </si>
  <si>
    <t>24</t>
    <phoneticPr fontId="2"/>
  </si>
  <si>
    <t>19</t>
    <phoneticPr fontId="2"/>
  </si>
  <si>
    <t>25</t>
    <phoneticPr fontId="2"/>
  </si>
  <si>
    <t>20</t>
    <phoneticPr fontId="2"/>
  </si>
  <si>
    <t>26</t>
    <phoneticPr fontId="2"/>
  </si>
  <si>
    <t>21</t>
    <phoneticPr fontId="2"/>
  </si>
  <si>
    <t>27</t>
    <phoneticPr fontId="2"/>
  </si>
  <si>
    <t>22</t>
    <phoneticPr fontId="2"/>
  </si>
  <si>
    <t>28</t>
    <phoneticPr fontId="2"/>
  </si>
  <si>
    <t>23</t>
    <phoneticPr fontId="2"/>
  </si>
  <si>
    <t>29</t>
    <phoneticPr fontId="2"/>
  </si>
  <si>
    <t>30</t>
    <phoneticPr fontId="2"/>
  </si>
  <si>
    <t>39</t>
    <phoneticPr fontId="2"/>
  </si>
  <si>
    <t>31</t>
    <phoneticPr fontId="2"/>
  </si>
  <si>
    <t>40</t>
    <phoneticPr fontId="2"/>
  </si>
  <si>
    <t>32</t>
    <phoneticPr fontId="2"/>
  </si>
  <si>
    <t>41</t>
    <phoneticPr fontId="2"/>
  </si>
  <si>
    <t>33</t>
    <phoneticPr fontId="2"/>
  </si>
  <si>
    <t>42</t>
    <phoneticPr fontId="2"/>
  </si>
  <si>
    <t>34</t>
    <phoneticPr fontId="2"/>
  </si>
  <si>
    <t>43</t>
    <phoneticPr fontId="2"/>
  </si>
  <si>
    <t>35</t>
    <phoneticPr fontId="2"/>
  </si>
  <si>
    <t>44</t>
    <phoneticPr fontId="2"/>
  </si>
  <si>
    <t>36</t>
    <phoneticPr fontId="2"/>
  </si>
  <si>
    <t>45</t>
    <phoneticPr fontId="2"/>
  </si>
  <si>
    <t>37</t>
    <phoneticPr fontId="2"/>
  </si>
  <si>
    <t>46</t>
    <phoneticPr fontId="2"/>
  </si>
  <si>
    <t>38</t>
    <phoneticPr fontId="2"/>
  </si>
  <si>
    <t>47</t>
    <phoneticPr fontId="2"/>
  </si>
  <si>
    <t>A</t>
    <phoneticPr fontId="2"/>
  </si>
  <si>
    <t>B</t>
    <phoneticPr fontId="2"/>
  </si>
  <si>
    <t>　C-1</t>
    <phoneticPr fontId="2"/>
  </si>
  <si>
    <t>　C-2</t>
    <phoneticPr fontId="2"/>
  </si>
  <si>
    <t>【経済基準の適格認定】海外居住者のための収入等申告書の記入例</t>
    <rPh sb="1" eb="3">
      <t>ケイザイ</t>
    </rPh>
    <rPh sb="3" eb="5">
      <t>キジュン</t>
    </rPh>
    <rPh sb="6" eb="8">
      <t>テキカク</t>
    </rPh>
    <rPh sb="8" eb="10">
      <t>ニンテイ</t>
    </rPh>
    <rPh sb="11" eb="13">
      <t>カイガイ</t>
    </rPh>
    <rPh sb="13" eb="16">
      <t>キョジュウシャ</t>
    </rPh>
    <rPh sb="20" eb="22">
      <t>シュウニュウ</t>
    </rPh>
    <rPh sb="22" eb="23">
      <t>トウ</t>
    </rPh>
    <rPh sb="23" eb="25">
      <t>シンコク</t>
    </rPh>
    <rPh sb="25" eb="26">
      <t>ショ</t>
    </rPh>
    <rPh sb="27" eb="29">
      <t>キニュウ</t>
    </rPh>
    <rPh sb="29" eb="30">
      <t>レイ</t>
    </rPh>
    <phoneticPr fontId="2"/>
  </si>
  <si>
    <t>【予約採用・定期採用の申込み】海外居住者のための収入等申告書の記入例</t>
    <rPh sb="1" eb="3">
      <t>ヨヤク</t>
    </rPh>
    <rPh sb="3" eb="5">
      <t>サイヨウ</t>
    </rPh>
    <rPh sb="6" eb="8">
      <t>テイキ</t>
    </rPh>
    <rPh sb="8" eb="10">
      <t>サイヨウ</t>
    </rPh>
    <rPh sb="11" eb="13">
      <t>モウシコ</t>
    </rPh>
    <rPh sb="15" eb="17">
      <t>カイガイ</t>
    </rPh>
    <rPh sb="17" eb="20">
      <t>キョジュウシャ</t>
    </rPh>
    <rPh sb="24" eb="26">
      <t>シュウニュウ</t>
    </rPh>
    <rPh sb="26" eb="27">
      <t>トウ</t>
    </rPh>
    <rPh sb="27" eb="29">
      <t>シンコク</t>
    </rPh>
    <rPh sb="29" eb="30">
      <t>ショ</t>
    </rPh>
    <rPh sb="31" eb="33">
      <t>キニュウ</t>
    </rPh>
    <rPh sb="33" eb="34">
      <t>レイ</t>
    </rPh>
    <phoneticPr fontId="2"/>
  </si>
  <si>
    <t>Ver.2.1</t>
    <phoneticPr fontId="2"/>
  </si>
  <si>
    <t>○</t>
  </si>
  <si>
    <t>JPY</t>
  </si>
  <si>
    <t/>
  </si>
  <si>
    <t>生計維持者２</t>
  </si>
  <si>
    <t>　※申込者の父母が健在である場合、それぞれが生計維持者となりますので、「はい」を選択してください。</t>
  </si>
  <si>
    <t>AUD</t>
  </si>
  <si>
    <t>　※奨学生の父母が健在である場合、それぞれが生計維持者となりますので、「はい」を選択してください。</t>
  </si>
  <si>
    <t>日本銀行国際局</t>
  </si>
  <si>
    <t xml:space="preserve">  が定める相場（アメリカ合衆国通貨以外の通貨とアメリカ合衆国通貨との間</t>
  </si>
  <si>
    <t>円 (</t>
  </si>
  <si>
    <t xml:space="preserve"> JPY)</t>
  </si>
  <si>
    <t>カナダ・ドル (1 CAD)</t>
  </si>
  <si>
    <t>中国元 (1 CNY)</t>
  </si>
  <si>
    <t>スウェーデン・クローネ (1 SEK)</t>
  </si>
  <si>
    <t>スイス・フラン (1 CHF)</t>
  </si>
  <si>
    <t>スターリング・ポンド (1 GBP)</t>
  </si>
  <si>
    <t>ユーロ (1 EUR)</t>
  </si>
  <si>
    <t>アラブ首長国連邦ディルハム (1 AED)</t>
  </si>
  <si>
    <t>アルゼンチン・ペソ (1 ARS)</t>
  </si>
  <si>
    <t>イスラエル・シェケル (1 ILS)</t>
  </si>
  <si>
    <t xml:space="preserve">イラン・リアル (1 IRR) </t>
  </si>
  <si>
    <t>インド・ルピー (1 INR)</t>
  </si>
  <si>
    <t>インドネシア・ルピア (100 IDR)</t>
  </si>
  <si>
    <t>オーストラリア・ドル (1 AUD)</t>
  </si>
  <si>
    <t>オマーン・リアル (1 OMR)</t>
  </si>
  <si>
    <t>2.60</t>
  </si>
  <si>
    <t>カタール・リアル (1 QAR)</t>
  </si>
  <si>
    <t>韓国ウォン (100 KRW)</t>
  </si>
  <si>
    <t>カンボジア・リエル (100 KHR)</t>
  </si>
  <si>
    <t>クウェート・ディナール (1 KWD)</t>
  </si>
  <si>
    <t>ケニア・シリング (1 KES)</t>
  </si>
  <si>
    <t>コロンビア・ペソ (100 COP)</t>
  </si>
  <si>
    <t>サウジアラビア・リアル (1 SAR)</t>
  </si>
  <si>
    <t>シンガポール・ドル(1 SGD)</t>
  </si>
  <si>
    <t>新台湾ドル (100 TWD)</t>
  </si>
  <si>
    <t>スリランカ・ルピー (100 LKR)</t>
  </si>
  <si>
    <t>セーシェル・ルピー (1 SCR)</t>
  </si>
  <si>
    <t>タイ・バーツ (100 THB)</t>
  </si>
  <si>
    <t>タヒチ・パシフィックフラン (100 XPF)</t>
  </si>
  <si>
    <t>チェコ・コルナ (1 CZK)</t>
  </si>
  <si>
    <t>チリ・ペソ (100 CLP)</t>
  </si>
  <si>
    <t>デンマーク・クローネ (1 DKK)</t>
  </si>
  <si>
    <t>トリニダード・トバゴ・ドル (1 TTD)</t>
  </si>
  <si>
    <t>トルコ・リラ (1 TRY)</t>
  </si>
  <si>
    <t>ナイジェリア・ナイラ (1 NGN)</t>
  </si>
  <si>
    <t>ニュージーランド・ドル (1 NZD)</t>
  </si>
  <si>
    <t>ノルウェー・クローネ (1 NOK)</t>
  </si>
  <si>
    <t>パキスタン・ルピー (1 PKR)</t>
  </si>
  <si>
    <t>バヌアツ・バツ (100 VUV)</t>
  </si>
  <si>
    <t>パプアニューギニア・キナ (1 PGK)</t>
  </si>
  <si>
    <t>バーレーン・ディナール (1 BHD)</t>
  </si>
  <si>
    <t>ハンガリー・フォリント (100 HUF)</t>
  </si>
  <si>
    <t>バングラデシュ・タカ (100 BDT)</t>
  </si>
  <si>
    <t>フィジー・ドル (1 FJD)</t>
  </si>
  <si>
    <t>フィリピン・ペソ (1 PHP)</t>
  </si>
  <si>
    <t>ブラジル・レアル (1 BRL)</t>
  </si>
  <si>
    <t>ブルネイ・ドル (1 BND)</t>
  </si>
  <si>
    <t>ベトナム・ドン (100 VND)</t>
  </si>
  <si>
    <t>ベネズエラ・ボリーバル (1 VES)</t>
  </si>
  <si>
    <t>ペルー・ヌエボ・ソル (1 PEN)</t>
  </si>
  <si>
    <t>ポーランド・ズロチ (1 PLN)</t>
  </si>
  <si>
    <t>香港ドル (1 HKD)</t>
  </si>
  <si>
    <t>マレーシア・リンギット (1 MYR)</t>
  </si>
  <si>
    <t>南アフリカ・ラント (1 ZAR)</t>
  </si>
  <si>
    <t>ミャンマー・チャット (1 MMK)</t>
  </si>
  <si>
    <t>メキシコ・ペソ (1 MXN)</t>
  </si>
  <si>
    <t>モーリシャス・ルピー (1 MUR)</t>
  </si>
  <si>
    <t>モロッコ・ディルハム (1 MAD)</t>
  </si>
  <si>
    <t>ヨルダン・ディナール (1 JOD)</t>
  </si>
  <si>
    <t>ラオス・キップ (100 LAK)</t>
  </si>
  <si>
    <t>ルーマニア・レイ (1 RON)</t>
  </si>
  <si>
    <t>ルワンダ・フラン (100 RWF)</t>
  </si>
  <si>
    <t>ロシア・ルーブル (1 RUB)</t>
  </si>
  <si>
    <t>上記以外の外国通貨</t>
  </si>
  <si>
    <t>更新履歴</t>
    <rPh sb="0" eb="2">
      <t>コウシン</t>
    </rPh>
    <rPh sb="2" eb="4">
      <t>リレキ</t>
    </rPh>
    <phoneticPr fontId="2"/>
  </si>
  <si>
    <t>公開用に作成</t>
    <rPh sb="0" eb="3">
      <t>コウカイヨウ</t>
    </rPh>
    <rPh sb="4" eb="6">
      <t>サクセイ</t>
    </rPh>
    <phoneticPr fontId="2"/>
  </si>
  <si>
    <t>報告省令レートを更新</t>
    <rPh sb="0" eb="2">
      <t>ホウコク</t>
    </rPh>
    <rPh sb="2" eb="4">
      <t>ショウレイ</t>
    </rPh>
    <rPh sb="8" eb="10">
      <t>コウシン</t>
    </rPh>
    <phoneticPr fontId="2"/>
  </si>
  <si>
    <t>適格認定（経済）に対応</t>
    <rPh sb="0" eb="2">
      <t>テキカク</t>
    </rPh>
    <rPh sb="2" eb="4">
      <t>ニンテイ</t>
    </rPh>
    <rPh sb="5" eb="7">
      <t>ケイザイ</t>
    </rPh>
    <rPh sb="9" eb="11">
      <t>タイオウ</t>
    </rPh>
    <phoneticPr fontId="2"/>
  </si>
  <si>
    <t>税制改正対応、報告省令レートを更新、バージョンを日付に修正</t>
    <rPh sb="0" eb="2">
      <t>ゼイセイ</t>
    </rPh>
    <rPh sb="2" eb="4">
      <t>カイセイ</t>
    </rPh>
    <rPh sb="4" eb="6">
      <t>タイオウ</t>
    </rPh>
    <rPh sb="7" eb="9">
      <t>ホウコク</t>
    </rPh>
    <rPh sb="9" eb="11">
      <t>ショウレイ</t>
    </rPh>
    <rPh sb="15" eb="17">
      <t>コウシン</t>
    </rPh>
    <rPh sb="24" eb="26">
      <t>ヒヅケ</t>
    </rPh>
    <rPh sb="27" eb="29">
      <t>シュウセイ</t>
    </rPh>
    <phoneticPr fontId="2"/>
  </si>
  <si>
    <t>↓貼付枠（前年の「当年レート」の□内を貼り付け)</t>
    <rPh sb="1" eb="4">
      <t>ハリツケワク</t>
    </rPh>
    <rPh sb="5" eb="7">
      <t>ゼンネン</t>
    </rPh>
    <rPh sb="9" eb="11">
      <t>トウネン</t>
    </rPh>
    <rPh sb="17" eb="18">
      <t>ナイ</t>
    </rPh>
    <rPh sb="19" eb="20">
      <t>ハ</t>
    </rPh>
    <rPh sb="21" eb="22">
      <t>ツ</t>
    </rPh>
    <phoneticPr fontId="2"/>
  </si>
  <si>
    <t>税制改正新旧判定</t>
    <rPh sb="0" eb="2">
      <t>ゼイセイ</t>
    </rPh>
    <rPh sb="2" eb="4">
      <t>カイセイ</t>
    </rPh>
    <rPh sb="4" eb="6">
      <t>シンキュウ</t>
    </rPh>
    <rPh sb="6" eb="8">
      <t>ハンテイ</t>
    </rPh>
    <phoneticPr fontId="1"/>
  </si>
  <si>
    <t>支給額算定基準額</t>
    <rPh sb="0" eb="3">
      <t>シキュウガク</t>
    </rPh>
    <rPh sb="3" eb="5">
      <t>サンテイ</t>
    </rPh>
    <rPh sb="5" eb="8">
      <t>キジュンガク</t>
    </rPh>
    <phoneticPr fontId="2"/>
  </si>
  <si>
    <t>551000未満の給与所得金額</t>
    <rPh sb="6" eb="8">
      <t>ミマン</t>
    </rPh>
    <rPh sb="9" eb="11">
      <t>キュウヨ</t>
    </rPh>
    <rPh sb="11" eb="13">
      <t>ショトク</t>
    </rPh>
    <rPh sb="13" eb="15">
      <t>キンガク</t>
    </rPh>
    <phoneticPr fontId="2"/>
  </si>
  <si>
    <t>給与収入金額-550000</t>
    <rPh sb="0" eb="1">
      <t>キュウヨ</t>
    </rPh>
    <rPh sb="1" eb="3">
      <t>シュウニュウ</t>
    </rPh>
    <rPh sb="3" eb="5">
      <t>キンガク</t>
    </rPh>
    <phoneticPr fontId="2"/>
  </si>
  <si>
    <t>Rounddown(給与収入金額/4000,0)*4000*0.6+100000</t>
    <phoneticPr fontId="2"/>
  </si>
  <si>
    <t>Rounddown(給与収入金額/4000,0)*4000*0.7-80000</t>
    <phoneticPr fontId="2"/>
  </si>
  <si>
    <t>Rounddown(給与収入金額/4000,0)*4000*0.8-440000</t>
    <phoneticPr fontId="2"/>
  </si>
  <si>
    <t>給与収入金額*0.9-1100000</t>
    <rPh sb="0" eb="1">
      <t>キュウヨ</t>
    </rPh>
    <rPh sb="1" eb="3">
      <t>シュウニュウ</t>
    </rPh>
    <rPh sb="3" eb="5">
      <t>キンガク</t>
    </rPh>
    <phoneticPr fontId="2"/>
  </si>
  <si>
    <t>8500000未満の給与所得金額</t>
    <rPh sb="7" eb="9">
      <t>ミマン</t>
    </rPh>
    <rPh sb="10" eb="12">
      <t>キュウヨ</t>
    </rPh>
    <rPh sb="12" eb="14">
      <t>ショトク</t>
    </rPh>
    <rPh sb="14" eb="16">
      <t>キンガク</t>
    </rPh>
    <phoneticPr fontId="2"/>
  </si>
  <si>
    <t>給与収入金額-1950000</t>
    <rPh sb="0" eb="1">
      <t>キュウヨ</t>
    </rPh>
    <rPh sb="1" eb="3">
      <t>シュウニュウ</t>
    </rPh>
    <rPh sb="3" eb="5">
      <t>キンガク</t>
    </rPh>
    <phoneticPr fontId="2"/>
  </si>
  <si>
    <t>8500000以上の給与所得金額</t>
    <rPh sb="7" eb="9">
      <t>イジョウ</t>
    </rPh>
    <rPh sb="10" eb="12">
      <t>キュウヨ</t>
    </rPh>
    <rPh sb="12" eb="14">
      <t>ショトク</t>
    </rPh>
    <rPh sb="14" eb="16">
      <t>キンガク</t>
    </rPh>
    <phoneticPr fontId="2"/>
  </si>
  <si>
    <t>1619000未満の給与所得金額計算</t>
    <rPh sb="7" eb="9">
      <t>ミマン</t>
    </rPh>
    <rPh sb="10" eb="12">
      <t>キュウヨ</t>
    </rPh>
    <rPh sb="12" eb="14">
      <t>ショトク</t>
    </rPh>
    <rPh sb="14" eb="16">
      <t>キンガク</t>
    </rPh>
    <rPh sb="16" eb="18">
      <t>ケイサン</t>
    </rPh>
    <phoneticPr fontId="2"/>
  </si>
  <si>
    <t>1800000未満の給与所得金額計算</t>
    <rPh sb="7" eb="9">
      <t>ミマン</t>
    </rPh>
    <rPh sb="10" eb="12">
      <t>キュウヨ</t>
    </rPh>
    <rPh sb="12" eb="14">
      <t>ショトク</t>
    </rPh>
    <rPh sb="14" eb="16">
      <t>キンガク</t>
    </rPh>
    <rPh sb="16" eb="18">
      <t>ケイサン</t>
    </rPh>
    <phoneticPr fontId="2"/>
  </si>
  <si>
    <t>3600000未満の給与所得金額計算</t>
    <rPh sb="7" eb="9">
      <t>ミマン</t>
    </rPh>
    <rPh sb="10" eb="12">
      <t>キュウヨ</t>
    </rPh>
    <rPh sb="12" eb="14">
      <t>ショトク</t>
    </rPh>
    <rPh sb="14" eb="16">
      <t>キンガク</t>
    </rPh>
    <rPh sb="16" eb="18">
      <t>ケイサン</t>
    </rPh>
    <phoneticPr fontId="2"/>
  </si>
  <si>
    <t>6600000未満の給与所得金額計算</t>
    <rPh sb="7" eb="9">
      <t>ミマン</t>
    </rPh>
    <rPh sb="10" eb="12">
      <t>キュウヨ</t>
    </rPh>
    <rPh sb="12" eb="14">
      <t>ショトク</t>
    </rPh>
    <rPh sb="14" eb="16">
      <t>キンガク</t>
    </rPh>
    <rPh sb="16" eb="18">
      <t>ケイサン</t>
    </rPh>
    <phoneticPr fontId="2"/>
  </si>
  <si>
    <t>8500000未満の給与所得金額計算</t>
    <rPh sb="7" eb="9">
      <t>ミマン</t>
    </rPh>
    <rPh sb="10" eb="12">
      <t>キュウヨ</t>
    </rPh>
    <rPh sb="12" eb="14">
      <t>ショトク</t>
    </rPh>
    <rPh sb="14" eb="16">
      <t>キンガク</t>
    </rPh>
    <rPh sb="16" eb="18">
      <t>ケイサン</t>
    </rPh>
    <phoneticPr fontId="2"/>
  </si>
  <si>
    <t>8500000以上の給与所得金額計算</t>
    <rPh sb="7" eb="9">
      <t>イジョウ</t>
    </rPh>
    <rPh sb="10" eb="12">
      <t>キュウヨ</t>
    </rPh>
    <rPh sb="12" eb="14">
      <t>ショトク</t>
    </rPh>
    <rPh sb="14" eb="16">
      <t>キンガク</t>
    </rPh>
    <rPh sb="16" eb="18">
      <t>ケイサン</t>
    </rPh>
    <phoneticPr fontId="2"/>
  </si>
  <si>
    <t>基礎控除のための給与収入区分１</t>
    <rPh sb="0" eb="2">
      <t>キソ</t>
    </rPh>
    <rPh sb="2" eb="4">
      <t>コウジョ</t>
    </rPh>
    <rPh sb="8" eb="10">
      <t>キュウヨ</t>
    </rPh>
    <rPh sb="10" eb="12">
      <t>シュウニュウ</t>
    </rPh>
    <rPh sb="12" eb="14">
      <t>クブン</t>
    </rPh>
    <phoneticPr fontId="2"/>
  </si>
  <si>
    <t>基礎控除のための給与収入区分２</t>
    <rPh sb="0" eb="2">
      <t>キソ</t>
    </rPh>
    <rPh sb="2" eb="4">
      <t>コウジョ</t>
    </rPh>
    <rPh sb="8" eb="10">
      <t>キュウヨ</t>
    </rPh>
    <rPh sb="10" eb="12">
      <t>シュウニュウ</t>
    </rPh>
    <rPh sb="12" eb="14">
      <t>クブン</t>
    </rPh>
    <phoneticPr fontId="2"/>
  </si>
  <si>
    <t>基礎控除のための給与収入区分３</t>
    <rPh sb="0" eb="2">
      <t>キソ</t>
    </rPh>
    <rPh sb="2" eb="4">
      <t>コウジョ</t>
    </rPh>
    <rPh sb="8" eb="10">
      <t>キュウヨ</t>
    </rPh>
    <rPh sb="10" eb="12">
      <t>シュウニュウ</t>
    </rPh>
    <rPh sb="12" eb="14">
      <t>クブン</t>
    </rPh>
    <phoneticPr fontId="2"/>
  </si>
  <si>
    <t>所得金額調整控除①のための給与所得区分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</si>
  <si>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所得金額調整控除②のための給与所得区分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</si>
  <si>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基礎控除（合計所得金額が 2,400 万円を超え 2,450 万円以下の場合）</t>
    <rPh sb="0" eb="2">
      <t>キソ</t>
    </rPh>
    <rPh sb="2" eb="4">
      <t>コウジョ</t>
    </rPh>
    <rPh sb="36" eb="38">
      <t>バアイ</t>
    </rPh>
    <phoneticPr fontId="2"/>
  </si>
  <si>
    <t>基礎控除（合計所得金額が 2,450 万円を超え 2,500 万円以下の場合）</t>
    <rPh sb="0" eb="2">
      <t>キソ</t>
    </rPh>
    <rPh sb="2" eb="4">
      <t>コウジョ</t>
    </rPh>
    <phoneticPr fontId="2"/>
  </si>
  <si>
    <t>所得金額調整控除Ａ</t>
    <rPh sb="0" eb="2">
      <t>ショトク</t>
    </rPh>
    <rPh sb="2" eb="4">
      <t>キンガク</t>
    </rPh>
    <rPh sb="4" eb="6">
      <t>チョウセイ</t>
    </rPh>
    <rPh sb="6" eb="8">
      <t>コウジョ</t>
    </rPh>
    <phoneticPr fontId="2"/>
  </si>
  <si>
    <t>所得金額調整控除Ｂ</t>
    <rPh sb="0" eb="2">
      <t>ショトク</t>
    </rPh>
    <rPh sb="2" eb="4">
      <t>キンガク</t>
    </rPh>
    <rPh sb="4" eb="6">
      <t>チョウセイ</t>
    </rPh>
    <rPh sb="6" eb="8">
      <t>コウジョ</t>
    </rPh>
    <phoneticPr fontId="2"/>
  </si>
  <si>
    <t>税制改正後の寡婦の表記をひとり親に修正</t>
    <rPh sb="0" eb="2">
      <t>ゼイセイ</t>
    </rPh>
    <rPh sb="2" eb="5">
      <t>カイセイゴ</t>
    </rPh>
    <rPh sb="6" eb="8">
      <t>カフ</t>
    </rPh>
    <rPh sb="9" eb="11">
      <t>ヒョウキ</t>
    </rPh>
    <rPh sb="15" eb="16">
      <t>オヤ</t>
    </rPh>
    <rPh sb="17" eb="19">
      <t>シュウセイ</t>
    </rPh>
    <phoneticPr fontId="2"/>
  </si>
  <si>
    <t>(1)奨学生本人（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適格認定（家計）を実施します。</t>
    <rPh sb="3" eb="6">
      <t>ショウガクセイ</t>
    </rPh>
    <rPh sb="6" eb="8">
      <t>ホンニン</t>
    </rPh>
    <rPh sb="9" eb="11">
      <t>イカ</t>
    </rPh>
    <rPh sb="13" eb="15">
      <t>ホンニン</t>
    </rPh>
    <rPh sb="21" eb="23">
      <t>セイケイ</t>
    </rPh>
    <rPh sb="23" eb="25">
      <t>イジ</t>
    </rPh>
    <rPh sb="25" eb="26">
      <t>シャ</t>
    </rPh>
    <rPh sb="29" eb="30">
      <t>ガツ</t>
    </rPh>
    <rPh sb="31" eb="32">
      <t>ニチ</t>
    </rPh>
    <rPh sb="32" eb="34">
      <t>ジテン</t>
    </rPh>
    <rPh sb="35" eb="37">
      <t>カイガイ</t>
    </rPh>
    <rPh sb="38" eb="40">
      <t>キョジュウ</t>
    </rPh>
    <rPh sb="47" eb="49">
      <t>リユウ</t>
    </rPh>
    <rPh sb="52" eb="54">
      <t>ニホン</t>
    </rPh>
    <rPh sb="54" eb="56">
      <t>コクナイ</t>
    </rPh>
    <rPh sb="57" eb="60">
      <t>ジュウミンゼイ</t>
    </rPh>
    <rPh sb="61" eb="62">
      <t>カ</t>
    </rPh>
    <rPh sb="68" eb="70">
      <t>バアイ</t>
    </rPh>
    <rPh sb="75" eb="77">
      <t>シンコク</t>
    </rPh>
    <rPh sb="77" eb="78">
      <t>ショ</t>
    </rPh>
    <rPh sb="79" eb="81">
      <t>テイシュツ</t>
    </rPh>
    <phoneticPr fontId="2"/>
  </si>
  <si>
    <t>【共通的な事項】</t>
    <rPh sb="1" eb="4">
      <t>キョウツウテキ</t>
    </rPh>
    <rPh sb="5" eb="7">
      <t>ジコウ</t>
    </rPh>
    <phoneticPr fontId="2"/>
  </si>
  <si>
    <t>【項目別の注意事項】</t>
    <phoneticPr fontId="2"/>
  </si>
  <si>
    <t>02.本人がどちらの生計維持者に扶養されているかを選択します。</t>
    <phoneticPr fontId="2"/>
  </si>
  <si>
    <t>03.本人が、所得税法に定める（もしくは、所得税法の定めに該当すると考えられる）障害者であるかを選択します。</t>
    <phoneticPr fontId="2"/>
  </si>
  <si>
    <t>05.収入（所得）は、適格認定（家計）の前年中に、本人に収入があったかどうかを入力してください。</t>
    <phoneticPr fontId="2"/>
  </si>
  <si>
    <t>【添付が必要な証明書】</t>
    <rPh sb="1" eb="3">
      <t>テンプ</t>
    </rPh>
    <rPh sb="4" eb="6">
      <t>ヒツヨウ</t>
    </rPh>
    <rPh sb="7" eb="10">
      <t>ショウメイショ</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</si>
  <si>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については本申告書を提出します。</t>
    <rPh sb="35" eb="36">
      <t>ヒト</t>
    </rPh>
    <phoneticPr fontId="2"/>
  </si>
  <si>
    <t>(1)奨学金申込者（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奨学金の選考等を実施します。採用された後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9" eb="141">
      <t>サイヨウ</t>
    </rPh>
    <rPh sb="144" eb="145">
      <t>アト</t>
    </rPh>
    <rPh sb="147" eb="149">
      <t>カイガイ</t>
    </rPh>
    <rPh sb="150" eb="151">
      <t>エ</t>
    </rPh>
    <rPh sb="152" eb="155">
      <t>シュウニュウトウ</t>
    </rPh>
    <rPh sb="158" eb="159">
      <t>カギ</t>
    </rPh>
    <rPh sb="161" eb="163">
      <t>マイトシ</t>
    </rPh>
    <rPh sb="163" eb="165">
      <t>テイシュツ</t>
    </rPh>
    <phoneticPr fontId="2"/>
  </si>
  <si>
    <t>04.生計維持者との同居欄は、3で「特別の障がい者である」を選択した場合のみ選択が必要です。</t>
    <rPh sb="38" eb="40">
      <t>センタク</t>
    </rPh>
    <rPh sb="41" eb="43">
      <t>ヒツヨウ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</si>
  <si>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t>
    <rPh sb="109" eb="113">
      <t>ショトクキンガク</t>
    </rPh>
    <rPh sb="114" eb="116">
      <t>ニュウリョク</t>
    </rPh>
    <phoneticPr fontId="2"/>
  </si>
  <si>
    <t>15.寡婦（夫）・ひとり親の選択は、11で「いいえ」を選択した場合のみ選択が必要です。</t>
    <rPh sb="3" eb="5">
      <t>カフ</t>
    </rPh>
    <rPh sb="6" eb="7">
      <t>フ</t>
    </rPh>
    <rPh sb="12" eb="13">
      <t>オヤ</t>
    </rPh>
    <rPh sb="14" eb="16">
      <t>センタク</t>
    </rPh>
    <rPh sb="35" eb="37">
      <t>センタク</t>
    </rPh>
    <rPh sb="38" eb="40">
      <t>ヒツヨウ</t>
    </rPh>
    <phoneticPr fontId="2"/>
  </si>
  <si>
    <t>30.～35.・39.～44.ここでは、それぞれの生計維持者が扶養している親族の人数を入力します。「扶養している」とは、ここでは、独立して生計を営めない者の生活を援助することです。また、ここでいう親族とは、配偶者を除く６親等内の血族及び３親等内の姻族を指します。</t>
    <rPh sb="25" eb="27">
      <t>セイケイ</t>
    </rPh>
    <rPh sb="27" eb="29">
      <t>イジ</t>
    </rPh>
    <rPh sb="29" eb="30">
      <t>シャ</t>
    </rPh>
    <rPh sb="31" eb="33">
      <t>フヨウ</t>
    </rPh>
    <rPh sb="37" eb="39">
      <t>シンゾク</t>
    </rPh>
    <rPh sb="40" eb="42">
      <t>ニンズウ</t>
    </rPh>
    <rPh sb="43" eb="45">
      <t>ニュウリョク</t>
    </rPh>
    <rPh sb="50" eb="52">
      <t>フヨウ</t>
    </rPh>
    <rPh sb="65" eb="67">
      <t>ドクリツ</t>
    </rPh>
    <rPh sb="69" eb="71">
      <t>セイケイ</t>
    </rPh>
    <rPh sb="72" eb="73">
      <t>イトナ</t>
    </rPh>
    <rPh sb="76" eb="77">
      <t>シャ</t>
    </rPh>
    <rPh sb="78" eb="80">
      <t>セイカツ</t>
    </rPh>
    <rPh sb="81" eb="83">
      <t>エンジョ</t>
    </rPh>
    <rPh sb="98" eb="100">
      <t>シンゾク</t>
    </rPh>
    <rPh sb="103" eb="106">
      <t>ハイグウシャ</t>
    </rPh>
    <rPh sb="107" eb="108">
      <t>ノゾ</t>
    </rPh>
    <rPh sb="110" eb="112">
      <t>シントウ</t>
    </rPh>
    <rPh sb="112" eb="113">
      <t>ナイ</t>
    </rPh>
    <rPh sb="114" eb="116">
      <t>ケツゾク</t>
    </rPh>
    <rPh sb="116" eb="117">
      <t>オヨ</t>
    </rPh>
    <rPh sb="119" eb="121">
      <t>シントウ</t>
    </rPh>
    <rPh sb="121" eb="122">
      <t>ナイ</t>
    </rPh>
    <rPh sb="123" eb="125">
      <t>インゾク</t>
    </rPh>
    <rPh sb="126" eb="127">
      <t>サ</t>
    </rPh>
    <phoneticPr fontId="2"/>
  </si>
  <si>
    <t>提出する年度（西暦4桁）</t>
    <rPh sb="0" eb="2">
      <t>テイシュツ</t>
    </rPh>
    <rPh sb="4" eb="6">
      <t>ネンド</t>
    </rPh>
    <rPh sb="7" eb="9">
      <t>セイレキ</t>
    </rPh>
    <rPh sb="10" eb="11">
      <t>ケタ</t>
    </rPh>
    <phoneticPr fontId="2"/>
  </si>
  <si>
    <t>○</t>
    <phoneticPr fontId="2"/>
  </si>
  <si>
    <t>05.収入（所得）は、申込区分に基づき申告いただく１年間に、本人に収入があったかどうかを入力してください。</t>
    <rPh sb="11" eb="13">
      <t>モウシコ</t>
    </rPh>
    <rPh sb="13" eb="15">
      <t>クブン</t>
    </rPh>
    <rPh sb="16" eb="17">
      <t>モト</t>
    </rPh>
    <rPh sb="19" eb="21">
      <t>シンコク</t>
    </rPh>
    <rPh sb="26" eb="28">
      <t>ネンカン</t>
    </rPh>
    <phoneticPr fontId="2"/>
  </si>
  <si>
    <t>③生計維持者に扶養親族がいる場合　その親族との関係（親子等）を明らかにする公的な書類（住民票、戸籍謄本、婚姻証明書等に該当する書類等）及びその和訳
④生計維持者がひとり親である場合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4" eb="85">
      <t>オヤ</t>
    </rPh>
    <rPh sb="88" eb="90">
      <t>バアイ</t>
    </rPh>
    <rPh sb="93" eb="94">
      <t>シャ</t>
    </rPh>
    <rPh sb="98" eb="99">
      <t>オヤ</t>
    </rPh>
    <rPh sb="105" eb="106">
      <t>シメ</t>
    </rPh>
    <rPh sb="107" eb="109">
      <t>コウテキ</t>
    </rPh>
    <rPh sb="109" eb="112">
      <t>ショウメイショ</t>
    </rPh>
    <rPh sb="113" eb="115">
      <t>コセキ</t>
    </rPh>
    <rPh sb="115" eb="117">
      <t>トウホン</t>
    </rPh>
    <rPh sb="117" eb="118">
      <t>トウ</t>
    </rPh>
    <rPh sb="119" eb="120">
      <t>オヨ</t>
    </rPh>
    <rPh sb="123" eb="125">
      <t>ワヤク</t>
    </rPh>
    <phoneticPr fontId="3"/>
  </si>
  <si>
    <t>①、②本人、生計維持者あるいは生計維持者の配偶者についてそれぞれの収入（所得）を証明する書類（原則として申込みの前年[春の在学採用のみ前々年]１月～12月分・用意できない場合には10月～12月分）とその和訳
　※居住地が国内、国外に関わらず、全員提出が必要です（マイナンバーを提出済であっても提出ください）。
　※年間を通して無収入である場合には、当該期間において無収入であることを示す公的な証明書が必要です。</t>
    <rPh sb="3" eb="5">
      <t>ホンニン</t>
    </rPh>
    <rPh sb="6" eb="8">
      <t>セイケイ</t>
    </rPh>
    <rPh sb="8" eb="10">
      <t>イジ</t>
    </rPh>
    <rPh sb="10" eb="11">
      <t>シャ</t>
    </rPh>
    <rPh sb="15" eb="17">
      <t>セイケイ</t>
    </rPh>
    <rPh sb="17" eb="19">
      <t>イジ</t>
    </rPh>
    <rPh sb="19" eb="20">
      <t>シャ</t>
    </rPh>
    <rPh sb="21" eb="24">
      <t>ハイグウシャ</t>
    </rPh>
    <rPh sb="33" eb="35">
      <t>シュウニュウ</t>
    </rPh>
    <rPh sb="36" eb="38">
      <t>ショトク</t>
    </rPh>
    <rPh sb="40" eb="42">
      <t>ショウメイ</t>
    </rPh>
    <rPh sb="44" eb="46">
      <t>ショルイ</t>
    </rPh>
    <rPh sb="47" eb="49">
      <t>ゲンソク</t>
    </rPh>
    <rPh sb="52" eb="53">
      <t>モウ</t>
    </rPh>
    <rPh sb="53" eb="54">
      <t>コ</t>
    </rPh>
    <rPh sb="56" eb="58">
      <t>ゼンネン</t>
    </rPh>
    <rPh sb="59" eb="60">
      <t>ハル</t>
    </rPh>
    <rPh sb="61" eb="63">
      <t>ザイガク</t>
    </rPh>
    <rPh sb="63" eb="65">
      <t>サイヨウ</t>
    </rPh>
    <rPh sb="67" eb="69">
      <t>ゼンゼン</t>
    </rPh>
    <rPh sb="69" eb="70">
      <t>ネン</t>
    </rPh>
    <rPh sb="72" eb="73">
      <t>ガツ</t>
    </rPh>
    <rPh sb="76" eb="77">
      <t>ガツ</t>
    </rPh>
    <rPh sb="77" eb="78">
      <t>ブン</t>
    </rPh>
    <rPh sb="79" eb="81">
      <t>ヨウイ</t>
    </rPh>
    <rPh sb="85" eb="87">
      <t>バアイ</t>
    </rPh>
    <rPh sb="91" eb="92">
      <t>ガツ</t>
    </rPh>
    <rPh sb="95" eb="96">
      <t>ガツ</t>
    </rPh>
    <rPh sb="96" eb="97">
      <t>ブン</t>
    </rPh>
    <rPh sb="101" eb="103">
      <t>ワヤク</t>
    </rPh>
    <rPh sb="106" eb="109">
      <t>キョジュウチ</t>
    </rPh>
    <rPh sb="116" eb="117">
      <t>カカ</t>
    </rPh>
    <rPh sb="121" eb="123">
      <t>ゼンイン</t>
    </rPh>
    <rPh sb="123" eb="125">
      <t>テイシュツ</t>
    </rPh>
    <rPh sb="126" eb="128">
      <t>ヒツヨウ</t>
    </rPh>
    <rPh sb="138" eb="140">
      <t>テイシュツ</t>
    </rPh>
    <rPh sb="140" eb="141">
      <t>ズ</t>
    </rPh>
    <rPh sb="146" eb="148">
      <t>テイシュツ</t>
    </rPh>
    <rPh sb="157" eb="159">
      <t>ネンカン</t>
    </rPh>
    <rPh sb="160" eb="161">
      <t>トオ</t>
    </rPh>
    <rPh sb="163" eb="166">
      <t>ムシュウニュウ</t>
    </rPh>
    <rPh sb="169" eb="171">
      <t>バアイ</t>
    </rPh>
    <rPh sb="174" eb="176">
      <t>トウガイ</t>
    </rPh>
    <rPh sb="176" eb="178">
      <t>キカン</t>
    </rPh>
    <rPh sb="182" eb="185">
      <t>ムシュウニュウ</t>
    </rPh>
    <rPh sb="191" eb="192">
      <t>シメ</t>
    </rPh>
    <rPh sb="193" eb="195">
      <t>コウテキ</t>
    </rPh>
    <rPh sb="196" eb="199">
      <t>ショウメイショ</t>
    </rPh>
    <rPh sb="200" eb="202">
      <t>ヒツヨウ</t>
    </rPh>
    <phoneticPr fontId="2"/>
  </si>
  <si>
    <t>⑤本人、生計維持者あるいは生計維持者が扶養している親族に障がい者に該当する方がいる場合　（日本に居住している方）障害者手帳　（日本に居住していない方）障がい者であることを公的に証明する書類及びその和訳</t>
    <rPh sb="1" eb="3">
      <t>ホンニン</t>
    </rPh>
    <rPh sb="4" eb="6">
      <t>セイケイ</t>
    </rPh>
    <rPh sb="6" eb="8">
      <t>イジ</t>
    </rPh>
    <rPh sb="8" eb="9">
      <t>シャ</t>
    </rPh>
    <rPh sb="13" eb="15">
      <t>セイケイ</t>
    </rPh>
    <rPh sb="15" eb="17">
      <t>イジ</t>
    </rPh>
    <rPh sb="17" eb="18">
      <t>シャ</t>
    </rPh>
    <rPh sb="19" eb="21">
      <t>フヨウ</t>
    </rPh>
    <rPh sb="25" eb="27">
      <t>シンゾク</t>
    </rPh>
    <rPh sb="28" eb="29">
      <t>ショウ</t>
    </rPh>
    <rPh sb="31" eb="32">
      <t>シャ</t>
    </rPh>
    <rPh sb="33" eb="35">
      <t>ガイトウ</t>
    </rPh>
    <rPh sb="37" eb="38">
      <t>カタ</t>
    </rPh>
    <rPh sb="41" eb="43">
      <t>バアイ</t>
    </rPh>
    <rPh sb="45" eb="47">
      <t>ニホン</t>
    </rPh>
    <rPh sb="48" eb="50">
      <t>キョジュウ</t>
    </rPh>
    <rPh sb="54" eb="55">
      <t>カタ</t>
    </rPh>
    <rPh sb="56" eb="59">
      <t>ショウガイシャ</t>
    </rPh>
    <rPh sb="59" eb="61">
      <t>テチョウ</t>
    </rPh>
    <rPh sb="63" eb="65">
      <t>ニホン</t>
    </rPh>
    <rPh sb="66" eb="68">
      <t>キョジュウ</t>
    </rPh>
    <rPh sb="73" eb="74">
      <t>カタ</t>
    </rPh>
    <rPh sb="98" eb="100">
      <t>ワヤク</t>
    </rPh>
    <phoneticPr fontId="3"/>
  </si>
  <si>
    <t>　　なお、期限までにご提出いただけない場合、必要な書類がすべて確認できない場合は、奨学金の選考ができず不採用となります。</t>
    <rPh sb="22" eb="24">
      <t>ヒツヨウ</t>
    </rPh>
    <rPh sb="25" eb="27">
      <t>ショルイ</t>
    </rPh>
    <rPh sb="31" eb="33">
      <t>カクニン</t>
    </rPh>
    <rPh sb="37" eb="39">
      <t>バアイ</t>
    </rPh>
    <rPh sb="41" eb="44">
      <t>ショウガクキン</t>
    </rPh>
    <rPh sb="45" eb="47">
      <t>センコウ</t>
    </rPh>
    <rPh sb="51" eb="54">
      <t>フサイヨウ</t>
    </rPh>
    <phoneticPr fontId="2"/>
  </si>
  <si>
    <t>採用時の表記が適格認定のものになっていたのを修正。他言及個所は可変とした</t>
    <rPh sb="0" eb="3">
      <t>サイヨウジ</t>
    </rPh>
    <rPh sb="4" eb="6">
      <t>ヒョウキ</t>
    </rPh>
    <rPh sb="7" eb="11">
      <t>テキカクニンテイ</t>
    </rPh>
    <rPh sb="22" eb="24">
      <t>シュウセイ</t>
    </rPh>
    <rPh sb="25" eb="26">
      <t>ホカ</t>
    </rPh>
    <rPh sb="26" eb="30">
      <t>ゲンキュウカショ</t>
    </rPh>
    <rPh sb="31" eb="33">
      <t>カヘン</t>
    </rPh>
    <phoneticPr fontId="2"/>
  </si>
  <si>
    <t>f～o…特別控除対象配偶者（控除額は所得に応じて変化する。非課税限度に影響しない。）</t>
    <rPh sb="4" eb="6">
      <t>トクベツ</t>
    </rPh>
    <rPh sb="6" eb="8">
      <t>コウジョ</t>
    </rPh>
    <rPh sb="8" eb="10">
      <t>タイショウ</t>
    </rPh>
    <rPh sb="10" eb="13">
      <t>ハイグウシャ</t>
    </rPh>
    <rPh sb="14" eb="16">
      <t>コウジョ</t>
    </rPh>
    <rPh sb="16" eb="17">
      <t>ガク</t>
    </rPh>
    <rPh sb="18" eb="20">
      <t>ショトク</t>
    </rPh>
    <rPh sb="21" eb="22">
      <t>オウ</t>
    </rPh>
    <rPh sb="24" eb="26">
      <t>ヘンカ</t>
    </rPh>
    <rPh sb="29" eb="32">
      <t>ヒカゼイ</t>
    </rPh>
    <rPh sb="32" eb="34">
      <t>ゲンド</t>
    </rPh>
    <rPh sb="35" eb="37">
      <t>エイキョウ</t>
    </rPh>
    <phoneticPr fontId="2"/>
  </si>
  <si>
    <t>A、B、C…配偶者の所得が低ければ配偶者控除を受けることができる者（控除額は所得により減額される）</t>
    <rPh sb="6" eb="9">
      <t>ハイグウシャ</t>
    </rPh>
    <rPh sb="10" eb="12">
      <t>ショトク</t>
    </rPh>
    <rPh sb="13" eb="14">
      <t>ヒク</t>
    </rPh>
    <rPh sb="17" eb="20">
      <t>ハイグウシャ</t>
    </rPh>
    <rPh sb="20" eb="22">
      <t>コウジョ</t>
    </rPh>
    <rPh sb="23" eb="24">
      <t>ウ</t>
    </rPh>
    <rPh sb="32" eb="33">
      <t>シャ</t>
    </rPh>
    <rPh sb="34" eb="36">
      <t>コウジョ</t>
    </rPh>
    <rPh sb="36" eb="37">
      <t>ガク</t>
    </rPh>
    <rPh sb="38" eb="40">
      <t>ショトク</t>
    </rPh>
    <rPh sb="43" eb="45">
      <t>ゲンガク</t>
    </rPh>
    <phoneticPr fontId="2"/>
  </si>
  <si>
    <t>D…配偶者の所得が低くても配偶者控除を受けることができない者</t>
    <rPh sb="2" eb="5">
      <t>ハイグウシャ</t>
    </rPh>
    <rPh sb="6" eb="8">
      <t>ショトク</t>
    </rPh>
    <rPh sb="9" eb="10">
      <t>ヒク</t>
    </rPh>
    <rPh sb="13" eb="16">
      <t>ハイグウシャ</t>
    </rPh>
    <rPh sb="16" eb="18">
      <t>コウジョ</t>
    </rPh>
    <rPh sb="19" eb="20">
      <t>ウ</t>
    </rPh>
    <rPh sb="29" eb="30">
      <t>シャ</t>
    </rPh>
    <phoneticPr fontId="2"/>
  </si>
  <si>
    <t>e…控除対象配偶者/同一生計配偶者</t>
    <rPh sb="2" eb="4">
      <t>コウジョ</t>
    </rPh>
    <rPh sb="4" eb="6">
      <t>タイショウ</t>
    </rPh>
    <rPh sb="6" eb="9">
      <t>ハイグウシャ</t>
    </rPh>
    <rPh sb="10" eb="12">
      <t>ドウイツ</t>
    </rPh>
    <rPh sb="12" eb="14">
      <t>セイケイ</t>
    </rPh>
    <rPh sb="14" eb="17">
      <t>ハイグウシャ</t>
    </rPh>
    <phoneticPr fontId="2"/>
  </si>
  <si>
    <t>p…配偶者控除を受けることができる者にも同一生計配偶者にもならない者</t>
    <rPh sb="2" eb="5">
      <t>ハイグウシャ</t>
    </rPh>
    <rPh sb="5" eb="7">
      <t>コウジョ</t>
    </rPh>
    <rPh sb="8" eb="9">
      <t>ウ</t>
    </rPh>
    <rPh sb="17" eb="18">
      <t>シャ</t>
    </rPh>
    <rPh sb="20" eb="27">
      <t>ドウイツセイケイハイグウシャ</t>
    </rPh>
    <rPh sb="33" eb="34">
      <t>シャ</t>
    </rPh>
    <phoneticPr fontId="2"/>
  </si>
  <si>
    <t>・配偶者控除区分の説明</t>
    <rPh sb="1" eb="4">
      <t>ハイグウシャ</t>
    </rPh>
    <rPh sb="4" eb="6">
      <t>コウジョ</t>
    </rPh>
    <rPh sb="6" eb="8">
      <t>クブン</t>
    </rPh>
    <rPh sb="9" eb="11">
      <t>セツメイ</t>
    </rPh>
    <phoneticPr fontId="2"/>
  </si>
  <si>
    <t>早生まれ適用年度判定</t>
    <rPh sb="0" eb="2">
      <t>ハヤウ</t>
    </rPh>
    <rPh sb="4" eb="6">
      <t>テキヨウ</t>
    </rPh>
    <rPh sb="6" eb="8">
      <t>ネンド</t>
    </rPh>
    <rPh sb="8" eb="10">
      <t>ハンテイ</t>
    </rPh>
    <phoneticPr fontId="2"/>
  </si>
  <si>
    <t>本人年末年齢</t>
    <rPh sb="0" eb="2">
      <t>ホンニン</t>
    </rPh>
    <rPh sb="2" eb="4">
      <t>ネンマツ</t>
    </rPh>
    <rPh sb="4" eb="6">
      <t>ネンレイ</t>
    </rPh>
    <phoneticPr fontId="2"/>
  </si>
  <si>
    <t>早生まれ判定</t>
    <rPh sb="0" eb="2">
      <t>ハヤウ</t>
    </rPh>
    <rPh sb="4" eb="6">
      <t>ハンテイ</t>
    </rPh>
    <phoneticPr fontId="2"/>
  </si>
  <si>
    <t>早生まれ控除額</t>
    <rPh sb="0" eb="2">
      <t>ハヤウ</t>
    </rPh>
    <rPh sb="4" eb="6">
      <t>コウジョ</t>
    </rPh>
    <rPh sb="6" eb="7">
      <t>ガク</t>
    </rPh>
    <phoneticPr fontId="2"/>
  </si>
  <si>
    <t>支給額算定基準額(早生まれ適用後)</t>
    <rPh sb="0" eb="3">
      <t>シキュウガク</t>
    </rPh>
    <rPh sb="3" eb="5">
      <t>サンテイ</t>
    </rPh>
    <rPh sb="5" eb="7">
      <t>キジュン</t>
    </rPh>
    <rPh sb="7" eb="8">
      <t>ガク</t>
    </rPh>
    <rPh sb="9" eb="11">
      <t>ハヤウ</t>
    </rPh>
    <rPh sb="13" eb="15">
      <t>テキヨウ</t>
    </rPh>
    <rPh sb="15" eb="16">
      <t>ゴ</t>
    </rPh>
    <phoneticPr fontId="2"/>
  </si>
  <si>
    <t>年度更新、早生まれ控除対応</t>
    <rPh sb="0" eb="2">
      <t>ネンド</t>
    </rPh>
    <rPh sb="2" eb="4">
      <t>コウシン</t>
    </rPh>
    <rPh sb="5" eb="7">
      <t>ハヤウ</t>
    </rPh>
    <rPh sb="9" eb="11">
      <t>コウジョ</t>
    </rPh>
    <rPh sb="11" eb="13">
      <t>タイオウ</t>
    </rPh>
    <phoneticPr fontId="2"/>
  </si>
  <si>
    <t>本人_年齢</t>
  </si>
  <si>
    <t>本人_給与収入金額JPY</t>
  </si>
  <si>
    <t>本人_給与所得金額</t>
  </si>
  <si>
    <t>本人_年金収入金額JPY</t>
  </si>
  <si>
    <t>本人_年金所得金額</t>
  </si>
  <si>
    <t>本人_事業所得金額JPY</t>
  </si>
  <si>
    <t>本人_合計所得金額</t>
  </si>
  <si>
    <t>本人_配偶者有無</t>
  </si>
  <si>
    <t>本人_配偶者控除区分</t>
  </si>
  <si>
    <t>本人_配偶者（特別）控除額</t>
  </si>
  <si>
    <t>本人_扶養控除（一般）</t>
  </si>
  <si>
    <t>本人_扶養控除（特定）</t>
  </si>
  <si>
    <t>本人_扶養控除（老人）</t>
  </si>
  <si>
    <t>本人_扶養控除（同老）</t>
  </si>
  <si>
    <t>本人_障害者控除（一般）</t>
  </si>
  <si>
    <t>本人_障害者控除（特定）</t>
  </si>
  <si>
    <t>本人_障害者控除（同特）</t>
  </si>
  <si>
    <t>本人_寡婦控除（本人の場合は勤労学生控除）</t>
  </si>
  <si>
    <t>本人_寡婦特別控除</t>
  </si>
  <si>
    <t>本人_基礎控除</t>
  </si>
  <si>
    <t>本人_扶養親族等の数</t>
  </si>
  <si>
    <t>本人_社会保険料等控除</t>
  </si>
  <si>
    <t>本人_非課税限度</t>
  </si>
  <si>
    <t>本人_非課税となる基準</t>
  </si>
  <si>
    <t>本人_所得控除合計額</t>
  </si>
  <si>
    <t>本人_課税標準額</t>
  </si>
  <si>
    <t>本人_算出税額</t>
  </si>
  <si>
    <t>本人_配偶者（特別）の差額</t>
  </si>
  <si>
    <t>本人_人的控除の差額</t>
  </si>
  <si>
    <t>本人_調整控除</t>
  </si>
  <si>
    <t>本人_調整額</t>
  </si>
  <si>
    <t>本人_支給額算定基準額</t>
  </si>
  <si>
    <t>維持者１_年齢</t>
  </si>
  <si>
    <t>維持者１_給与収入金額JPY</t>
  </si>
  <si>
    <t>維持者１_給与所得金額</t>
  </si>
  <si>
    <t>維持者１_年金収入金額JPY</t>
  </si>
  <si>
    <t>維持者１_年金所得金額</t>
  </si>
  <si>
    <t>維持者１_事業所得金額JPY</t>
  </si>
  <si>
    <t>維持者１_合計所得金額</t>
  </si>
  <si>
    <t>維持者１_配偶者有無</t>
  </si>
  <si>
    <t>維持者１_配偶者控除区分</t>
  </si>
  <si>
    <t>維持者１_配偶者（特別）控除額</t>
  </si>
  <si>
    <t>維持者１_扶養控除（一般）</t>
  </si>
  <si>
    <t>維持者１_扶養控除（特定）</t>
  </si>
  <si>
    <t>維持者１_扶養控除（老人）</t>
  </si>
  <si>
    <t>維持者１_扶養控除（同老）</t>
  </si>
  <si>
    <t>維持者１_障害者控除（一般）</t>
  </si>
  <si>
    <t>維持者１_障害者控除（特定）</t>
  </si>
  <si>
    <t>維持者１_障害者控除（同特）</t>
  </si>
  <si>
    <t>維持者１_寡婦控除（本人の場合は勤労学生控除）</t>
  </si>
  <si>
    <t>維持者１_寡婦特別控除</t>
  </si>
  <si>
    <t>維持者１_基礎控除</t>
  </si>
  <si>
    <t>維持者１_扶養親族等の数</t>
  </si>
  <si>
    <t>維持者１_社会保険料等控除</t>
  </si>
  <si>
    <t>維持者１_非課税限度</t>
  </si>
  <si>
    <t>維持者１_非課税となる基準</t>
  </si>
  <si>
    <t>維持者１_所得控除合計額</t>
  </si>
  <si>
    <t>維持者１_課税標準額</t>
  </si>
  <si>
    <t>維持者１_算出税額</t>
  </si>
  <si>
    <t>維持者１_配偶者（特別）の差額</t>
  </si>
  <si>
    <t>維持者１_人的控除の差額</t>
  </si>
  <si>
    <t>維持者１_調整控除</t>
  </si>
  <si>
    <t>維持者１_調整額</t>
  </si>
  <si>
    <t>維持者１_支給額算定基準額</t>
  </si>
  <si>
    <t>維持者１_申込者本人該当区分：扶養控除（16未満）</t>
  </si>
  <si>
    <t>維持者１_申込者本人該当区分：扶養控除（一般）</t>
  </si>
  <si>
    <t>維持者１_申込者本人該当区分：扶養控除（特定）</t>
  </si>
  <si>
    <t>維持者１_申込者本人該当区分：障害者控除（一般）</t>
  </si>
  <si>
    <t>維持者１_申込者本人該当区分：障害者控除（特定）</t>
  </si>
  <si>
    <t>維持者１_申込者本人該当区分：障害者控除（同特）</t>
  </si>
  <si>
    <t>維持者１_給与・年金計</t>
  </si>
  <si>
    <t>維持者１_事業等所得</t>
  </si>
  <si>
    <t>維持者１_申込区分</t>
  </si>
  <si>
    <t>維持者１_申込年度</t>
  </si>
  <si>
    <t>維持者１_前年当年区分（0=前年 1=当年）</t>
  </si>
  <si>
    <t>維持者１_賦課期日</t>
  </si>
  <si>
    <t>維持者１_前年レートの年</t>
  </si>
  <si>
    <t>維持者１_当年レートの年</t>
  </si>
  <si>
    <t>維持者１_使用するレート</t>
  </si>
  <si>
    <t>維持者１_税制改正新旧判定</t>
  </si>
  <si>
    <t>維持者１_所得金額調整控除Ａ</t>
  </si>
  <si>
    <t>維持者１_所得金額調整控除Ｂ</t>
  </si>
  <si>
    <t>維持者１_早生まれ適用年度判定</t>
  </si>
  <si>
    <t>維持者１_本人年末年齢</t>
  </si>
  <si>
    <t>維持者１_本人生年月日</t>
  </si>
  <si>
    <t>維持者１_早生まれ判定</t>
  </si>
  <si>
    <t>維持者１_早生まれ控除額</t>
  </si>
  <si>
    <t>維持者１_支給額算定基準額(早生まれ適用後)</t>
  </si>
  <si>
    <t>維持者２_年齢</t>
  </si>
  <si>
    <t>維持者２_給与収入金額JPY</t>
  </si>
  <si>
    <t>維持者２_給与所得金額</t>
  </si>
  <si>
    <t>維持者２_年金収入金額JPY</t>
  </si>
  <si>
    <t>維持者２_年金所得金額</t>
  </si>
  <si>
    <t>維持者２_事業所得金額JPY</t>
  </si>
  <si>
    <t>維持者２_合計所得金額</t>
  </si>
  <si>
    <t>維持者２_配偶者有無</t>
  </si>
  <si>
    <t>維持者２_配偶者控除区分</t>
  </si>
  <si>
    <t>維持者２_配偶者（特別）控除額</t>
  </si>
  <si>
    <t>維持者２_扶養控除（一般）</t>
  </si>
  <si>
    <t>維持者２_扶養控除（特定）</t>
  </si>
  <si>
    <t>維持者２_扶養控除（老人）</t>
  </si>
  <si>
    <t>維持者２_扶養控除（同老）</t>
  </si>
  <si>
    <t>維持者２_障害者控除（一般）</t>
  </si>
  <si>
    <t>維持者２_障害者控除（特定）</t>
  </si>
  <si>
    <t>維持者２_障害者控除（同特）</t>
  </si>
  <si>
    <t>維持者２_寡婦控除（本人の場合は勤労学生控除）</t>
  </si>
  <si>
    <t>維持者２_寡婦特別控除</t>
  </si>
  <si>
    <t>維持者２_基礎控除</t>
  </si>
  <si>
    <t>維持者２_扶養親族等の数</t>
  </si>
  <si>
    <t>維持者２_社会保険料等控除</t>
  </si>
  <si>
    <t>維持者２_非課税限度</t>
  </si>
  <si>
    <t>維持者２_非課税となる基準</t>
  </si>
  <si>
    <t>維持者２_所得控除合計額</t>
  </si>
  <si>
    <t>維持者２_課税標準額</t>
  </si>
  <si>
    <t>維持者２_算出税額</t>
  </si>
  <si>
    <t>維持者２_配偶者（特別）の差額</t>
  </si>
  <si>
    <t>維持者２_人的控除の差額</t>
  </si>
  <si>
    <t>維持者２_調整控除</t>
  </si>
  <si>
    <t>維持者２_調整額</t>
  </si>
  <si>
    <t>維持者２_支給額算定基準額</t>
  </si>
  <si>
    <t>維持者２_申込者本人該当区分：扶養控除（16未満）</t>
  </si>
  <si>
    <t>維持者２_申込者本人該当区分：扶養控除（一般）</t>
  </si>
  <si>
    <t>維持者２_申込者本人該当区分：扶養控除（特定）</t>
  </si>
  <si>
    <t>維持者２_申込者本人該当区分：障害者控除（一般）</t>
  </si>
  <si>
    <t>維持者２_申込者本人該当区分：障害者控除（特定）</t>
  </si>
  <si>
    <t>維持者２_申込者本人該当区分：障害者控除（同特）</t>
  </si>
  <si>
    <t>維持者２_給与・年金計</t>
  </si>
  <si>
    <t>維持者２_事業等所得</t>
  </si>
  <si>
    <t>維持者２_申込区分</t>
  </si>
  <si>
    <t>維持者２_申込年度</t>
  </si>
  <si>
    <t>維持者２_前年当年区分（0=前年 1=当年）</t>
  </si>
  <si>
    <t>維持者２_賦課期日</t>
  </si>
  <si>
    <t>維持者２_前年レートの年</t>
  </si>
  <si>
    <t>維持者２_当年レートの年</t>
  </si>
  <si>
    <t>維持者２_使用するレート</t>
  </si>
  <si>
    <t>維持者２_税制改正新旧判定</t>
  </si>
  <si>
    <t>維持者２_所得金額調整控除Ａ</t>
  </si>
  <si>
    <t>維持者２_所得金額調整控除Ｂ</t>
  </si>
  <si>
    <t>維持者２_早生まれ適用年度判定</t>
  </si>
  <si>
    <t>維持者２_本人年末年齢</t>
  </si>
  <si>
    <t>維持者２_本人生年月日</t>
  </si>
  <si>
    <t>維持者２_早生まれ判定</t>
  </si>
  <si>
    <t>維持者２_早生まれ控除額</t>
  </si>
  <si>
    <t>維持者２_支給額算定基準額(早生まれ適用後)</t>
  </si>
  <si>
    <t>申込受付番号・奨学生番号</t>
    <rPh sb="0" eb="2">
      <t>モウシコミ</t>
    </rPh>
    <rPh sb="2" eb="4">
      <t>ウケツケ</t>
    </rPh>
    <rPh sb="4" eb="6">
      <t>バンゴウ</t>
    </rPh>
    <rPh sb="7" eb="10">
      <t>ショウガクセイ</t>
    </rPh>
    <rPh sb="10" eb="12">
      <t>バンゴウ</t>
    </rPh>
    <phoneticPr fontId="2"/>
  </si>
  <si>
    <t>米ドル (USD)</t>
  </si>
  <si>
    <t>カナダ・ドル (CAD)</t>
  </si>
  <si>
    <t>中国元 (CNY)</t>
  </si>
  <si>
    <t>スウェーデン・クローネ (SEK)</t>
  </si>
  <si>
    <t>スイス・フラン (CHF)</t>
  </si>
  <si>
    <t>スターリング・ポンド (GBP)</t>
  </si>
  <si>
    <t>ユーロ (EUR)</t>
  </si>
  <si>
    <t>アラブ首長国連邦ディルハム (AED)</t>
  </si>
  <si>
    <t>アルゼンチン・ペソ (ARS)</t>
  </si>
  <si>
    <t>イスラエル・シェケル (ILS)</t>
  </si>
  <si>
    <t xml:space="preserve">イラン・リアル (IRR) </t>
  </si>
  <si>
    <t>インド・ルピー (INR)</t>
  </si>
  <si>
    <t>インドネシア・ルピア (IDR)</t>
  </si>
  <si>
    <t>オマーン・リアル (OMR)</t>
  </si>
  <si>
    <t>カタール・リアル (QAR)</t>
  </si>
  <si>
    <t>韓国ウォン (KRW)</t>
  </si>
  <si>
    <t>カンボジア・リエル (KHR)</t>
  </si>
  <si>
    <t>クウェート・ディナール (KWD)</t>
  </si>
  <si>
    <t>ケニア・シリング (KES)</t>
  </si>
  <si>
    <t>コロンビア・ペソ (COP)</t>
  </si>
  <si>
    <t>サウジアラビア・リアル (SAR)</t>
  </si>
  <si>
    <t>シンガポール・ドル(SGD)</t>
  </si>
  <si>
    <t>新台湾ドル (TWD)</t>
  </si>
  <si>
    <t>スリランカ・ルピー (LKR)</t>
  </si>
  <si>
    <t>セーシェル・ルピー (SCR)</t>
  </si>
  <si>
    <t>タイ・バーツ (THB)</t>
  </si>
  <si>
    <t>タヒチ・パシフィックフラン (XPF)</t>
  </si>
  <si>
    <t>チェコ・コルナ (CZK)</t>
  </si>
  <si>
    <t>チリ・ペソ (CLP)</t>
  </si>
  <si>
    <t>デンマーク・クローネ (DKK)</t>
  </si>
  <si>
    <t>トリニダード・トバゴ・ドル (TTD)</t>
  </si>
  <si>
    <t>トルコ・リラ (TRY)</t>
  </si>
  <si>
    <t>ナイジェリア・ナイラ (NGN)</t>
  </si>
  <si>
    <t>ニュージーランド・ドル (NZD)</t>
  </si>
  <si>
    <t>ノルウェー・クローネ (NOK)</t>
  </si>
  <si>
    <t>パキスタン・ルピー (PKR)</t>
  </si>
  <si>
    <t>バヌアツ・バツ (VUV)</t>
  </si>
  <si>
    <t>パプアニューギニア・キナ (PGK)</t>
  </si>
  <si>
    <t>バーレーン・ディナール (BHD)</t>
  </si>
  <si>
    <t>ハンガリー・フォリント (HUF)</t>
  </si>
  <si>
    <t>バングラデシュ・タカ (BDT)</t>
  </si>
  <si>
    <t>フィジー・ドル (FJD)</t>
  </si>
  <si>
    <t>フィリピン・ペソ (PHP)</t>
  </si>
  <si>
    <t>ブラジル・レアル (BRL)</t>
  </si>
  <si>
    <t>ブルネイ・ドル (BND)</t>
  </si>
  <si>
    <t>ベトナム・ドン (VND)</t>
  </si>
  <si>
    <t>ベネズエラ・ボリーバル (VES)</t>
  </si>
  <si>
    <t>ペルー・ヌエボ・ソル (PEN)</t>
  </si>
  <si>
    <t>ポーランド・ズロチ (PLN)</t>
  </si>
  <si>
    <t>香港ドル (HKD)</t>
  </si>
  <si>
    <t>マレーシア・リンギット (MYR)</t>
  </si>
  <si>
    <t>南アフリカ・ラント (ZAR)</t>
  </si>
  <si>
    <t>ミャンマー・チャット (MMK)</t>
  </si>
  <si>
    <t>メキシコ・ペソ (MXN)</t>
  </si>
  <si>
    <t>モーリシャス・ルピー (MUR)</t>
  </si>
  <si>
    <t>モロッコ・ディルハム (MAD)</t>
  </si>
  <si>
    <t>ヨルダン・ディナール (JOD)</t>
  </si>
  <si>
    <t>ラオス・キップ (LAK)</t>
  </si>
  <si>
    <t>ルーマニア・レイ (RON)</t>
  </si>
  <si>
    <t>ルワンダ・フラン (RWF)</t>
  </si>
  <si>
    <t>ロシア・ルーブル (RUB)</t>
  </si>
  <si>
    <t>0.730</t>
  </si>
  <si>
    <t>↓貼付枠</t>
    <rPh sb="1" eb="4">
      <t>ハリツケワク</t>
    </rPh>
    <phoneticPr fontId="2"/>
  </si>
  <si>
    <t>年齢を参照している計算式の修正</t>
    <rPh sb="0" eb="2">
      <t>ネンレイ</t>
    </rPh>
    <rPh sb="3" eb="5">
      <t>サンショウ</t>
    </rPh>
    <rPh sb="9" eb="12">
      <t>ケイサンシキ</t>
    </rPh>
    <rPh sb="13" eb="15">
      <t>シュウセイ</t>
    </rPh>
    <phoneticPr fontId="2"/>
  </si>
  <si>
    <t>0.140</t>
  </si>
  <si>
    <t>0.272</t>
  </si>
  <si>
    <t>3.24</t>
  </si>
  <si>
    <t>0.266</t>
  </si>
  <si>
    <t>0.148</t>
  </si>
  <si>
    <t>2.65</t>
  </si>
  <si>
    <t>0.128</t>
  </si>
  <si>
    <t>0.000476</t>
  </si>
  <si>
    <t>0.0225</t>
  </si>
  <si>
    <t>1.41</t>
  </si>
  <si>
    <t>年度更新、貸与基準見直し対応</t>
    <rPh sb="0" eb="2">
      <t>ネンド</t>
    </rPh>
    <rPh sb="2" eb="4">
      <t>コウシン</t>
    </rPh>
    <rPh sb="5" eb="7">
      <t>タイヨ</t>
    </rPh>
    <rPh sb="7" eb="9">
      <t>キジュン</t>
    </rPh>
    <rPh sb="9" eb="11">
      <t>ミナオ</t>
    </rPh>
    <rPh sb="12" eb="14">
      <t>タイオウ</t>
    </rPh>
    <phoneticPr fontId="2"/>
  </si>
  <si>
    <t>ひとり親控除</t>
    <rPh sb="3" eb="4">
      <t>オヤ</t>
    </rPh>
    <rPh sb="4" eb="6">
      <t>コウジョ</t>
    </rPh>
    <phoneticPr fontId="2"/>
  </si>
  <si>
    <t>子の数</t>
    <rPh sb="0" eb="1">
      <t>コ</t>
    </rPh>
    <rPh sb="2" eb="3">
      <t>カズ</t>
    </rPh>
    <phoneticPr fontId="2"/>
  </si>
  <si>
    <t>ひとり親該当</t>
    <rPh sb="3" eb="4">
      <t>オヤ</t>
    </rPh>
    <rPh sb="4" eb="6">
      <t>ガイトウ</t>
    </rPh>
    <phoneticPr fontId="2"/>
  </si>
  <si>
    <t>貸与基準見直し年度判定</t>
    <rPh sb="0" eb="2">
      <t>タイヨ</t>
    </rPh>
    <rPh sb="2" eb="4">
      <t>キジュン</t>
    </rPh>
    <rPh sb="4" eb="6">
      <t>ミナオ</t>
    </rPh>
    <rPh sb="7" eb="9">
      <t>ネンド</t>
    </rPh>
    <rPh sb="9" eb="11">
      <t>ハンテイ</t>
    </rPh>
    <phoneticPr fontId="2"/>
  </si>
  <si>
    <t>維持者１_控除前貸与額算定基準額</t>
    <rPh sb="0" eb="2">
      <t>イジ</t>
    </rPh>
    <rPh sb="2" eb="3">
      <t>シャ</t>
    </rPh>
    <rPh sb="5" eb="7">
      <t>コウジョ</t>
    </rPh>
    <rPh sb="7" eb="8">
      <t>マエ</t>
    </rPh>
    <rPh sb="8" eb="16">
      <t>タイヨガクサンテイキジュンガク</t>
    </rPh>
    <phoneticPr fontId="2"/>
  </si>
  <si>
    <t>維持者２_控除前貸与額算定基準額</t>
    <rPh sb="0" eb="2">
      <t>イジ</t>
    </rPh>
    <rPh sb="2" eb="3">
      <t>シャ</t>
    </rPh>
    <rPh sb="5" eb="7">
      <t>コウジョ</t>
    </rPh>
    <rPh sb="7" eb="8">
      <t>マエ</t>
    </rPh>
    <rPh sb="8" eb="16">
      <t>タイヨガクサンテイキジュンガク</t>
    </rPh>
    <phoneticPr fontId="2"/>
  </si>
  <si>
    <t>子の数</t>
    <rPh sb="0" eb="1">
      <t>コ</t>
    </rPh>
    <rPh sb="2" eb="3">
      <t>カズ</t>
    </rPh>
    <phoneticPr fontId="2"/>
  </si>
  <si>
    <t>ひとり親該当</t>
    <rPh sb="3" eb="4">
      <t>オヤ</t>
    </rPh>
    <rPh sb="4" eb="6">
      <t>ガイトウ</t>
    </rPh>
    <phoneticPr fontId="2"/>
  </si>
  <si>
    <t>控除前貸与額算定基準額（早生まれ適用後）</t>
    <rPh sb="0" eb="2">
      <t>コウジョ</t>
    </rPh>
    <rPh sb="2" eb="3">
      <t>マエ</t>
    </rPh>
    <rPh sb="3" eb="11">
      <t>タイヨガクサンテイキジュンガク</t>
    </rPh>
    <rPh sb="12" eb="14">
      <t>ハヤウ</t>
    </rPh>
    <rPh sb="16" eb="18">
      <t>テキヨウ</t>
    </rPh>
    <rPh sb="18" eb="19">
      <t>ゴ</t>
    </rPh>
    <phoneticPr fontId="2"/>
  </si>
  <si>
    <t>勤労学生控除の条件を修正</t>
    <rPh sb="0" eb="6">
      <t>キンロウガクセイコウジョ</t>
    </rPh>
    <rPh sb="7" eb="9">
      <t>ジョウケン</t>
    </rPh>
    <rPh sb="10" eb="12">
      <t>シュウセイ</t>
    </rPh>
    <phoneticPr fontId="2"/>
  </si>
  <si>
    <t>前年レートの計算式、高所得層の給与所得計算方法の修正</t>
    <rPh sb="0" eb="2">
      <t>ゼンネン</t>
    </rPh>
    <rPh sb="6" eb="9">
      <t>ケイサンシキ</t>
    </rPh>
    <rPh sb="10" eb="13">
      <t>コウショトク</t>
    </rPh>
    <rPh sb="13" eb="14">
      <t>ソウ</t>
    </rPh>
    <rPh sb="15" eb="17">
      <t>キュウヨ</t>
    </rPh>
    <rPh sb="17" eb="19">
      <t>ショトク</t>
    </rPh>
    <rPh sb="19" eb="21">
      <t>ケイサン</t>
    </rPh>
    <rPh sb="21" eb="23">
      <t>ホウホウ</t>
    </rPh>
    <rPh sb="24" eb="26">
      <t>シュウセイ</t>
    </rPh>
    <phoneticPr fontId="2"/>
  </si>
  <si>
    <t>報告省令レート（令和6年1月分）</t>
  </si>
  <si>
    <t>[令和6年1月中において適用]</t>
  </si>
  <si>
    <t>0.0937</t>
  </si>
  <si>
    <t>1.12</t>
  </si>
  <si>
    <t>1.24</t>
  </si>
  <si>
    <t>1.08</t>
  </si>
  <si>
    <t>0.00283</t>
  </si>
  <si>
    <t>0.263</t>
  </si>
  <si>
    <t>0.00000230</t>
  </si>
  <si>
    <t>0.0120</t>
  </si>
  <si>
    <t>0.00642</t>
  </si>
  <si>
    <t>0.650</t>
  </si>
  <si>
    <t>0.274</t>
  </si>
  <si>
    <t>0.0766</t>
  </si>
  <si>
    <t>0.0243</t>
  </si>
  <si>
    <t>0.00657</t>
  </si>
  <si>
    <t>0.0248</t>
  </si>
  <si>
    <t>0.267</t>
  </si>
  <si>
    <t>0.742</t>
  </si>
  <si>
    <t>3.14</t>
  </si>
  <si>
    <t>0.305</t>
  </si>
  <si>
    <t>0.0728</t>
  </si>
  <si>
    <t>2.82</t>
  </si>
  <si>
    <t>0.900</t>
  </si>
  <si>
    <t>0.0442</t>
  </si>
  <si>
    <t>0.113</t>
  </si>
  <si>
    <t>0.145</t>
  </si>
  <si>
    <t>0.0349</t>
  </si>
  <si>
    <t>0.00122</t>
  </si>
  <si>
    <t>0.600</t>
  </si>
  <si>
    <t>0.0917</t>
  </si>
  <si>
    <t>0.00350</t>
  </si>
  <si>
    <t>0.823</t>
  </si>
  <si>
    <t>0.269</t>
  </si>
  <si>
    <t>0.285</t>
  </si>
  <si>
    <t>0.905</t>
  </si>
  <si>
    <t>0.440</t>
  </si>
  <si>
    <t>0.0179</t>
  </si>
  <si>
    <t>0.204</t>
  </si>
  <si>
    <t>0.00411</t>
  </si>
  <si>
    <t>0.0283</t>
  </si>
  <si>
    <t>0.246</t>
  </si>
  <si>
    <t>0.213</t>
  </si>
  <si>
    <t>0.0539</t>
  </si>
  <si>
    <t>0.0575</t>
  </si>
  <si>
    <t>0.0985</t>
  </si>
  <si>
    <t>0.00483</t>
  </si>
  <si>
    <t>0.218</t>
  </si>
  <si>
    <t>0.0809</t>
  </si>
  <si>
    <t>0.0111</t>
  </si>
  <si>
    <t>（令和5年11月中における実勢相場の平均値）</t>
  </si>
  <si>
    <t>年度更新</t>
    <rPh sb="0" eb="2">
      <t>ネンド</t>
    </rPh>
    <rPh sb="2" eb="4">
      <t>コウシン</t>
    </rPh>
    <phoneticPr fontId="2"/>
  </si>
  <si>
    <t>税情報に準ずる子の数に老人を追加する修正</t>
    <rPh sb="0" eb="1">
      <t>ゼイ</t>
    </rPh>
    <rPh sb="1" eb="3">
      <t>ジョウホウ</t>
    </rPh>
    <rPh sb="4" eb="5">
      <t>ジュン</t>
    </rPh>
    <rPh sb="7" eb="8">
      <t>コ</t>
    </rPh>
    <rPh sb="9" eb="10">
      <t>カズ</t>
    </rPh>
    <rPh sb="11" eb="13">
      <t>ロウジン</t>
    </rPh>
    <rPh sb="14" eb="16">
      <t>ツイカ</t>
    </rPh>
    <rPh sb="18" eb="20">
      <t>シュウセイ</t>
    </rPh>
    <phoneticPr fontId="2"/>
  </si>
  <si>
    <t>大学院見直し対応</t>
    <rPh sb="0" eb="5">
      <t>ダイガクインミナオ</t>
    </rPh>
    <rPh sb="6" eb="8">
      <t>タイオウ</t>
    </rPh>
    <phoneticPr fontId="2"/>
  </si>
  <si>
    <t>大学院予約採用</t>
    <rPh sb="0" eb="3">
      <t>ダイガクイン</t>
    </rPh>
    <rPh sb="3" eb="5">
      <t>ヨヤク</t>
    </rPh>
    <rPh sb="5" eb="7">
      <t>サイヨウ</t>
    </rPh>
    <phoneticPr fontId="2"/>
  </si>
  <si>
    <t>春の大学院在学採用</t>
    <rPh sb="0" eb="1">
      <t>ハル</t>
    </rPh>
    <rPh sb="2" eb="5">
      <t>ダイガクイン</t>
    </rPh>
    <rPh sb="5" eb="7">
      <t>ザイガク</t>
    </rPh>
    <rPh sb="7" eb="9">
      <t>サイヨウ</t>
    </rPh>
    <phoneticPr fontId="2"/>
  </si>
  <si>
    <t>秋の大学院在学採用</t>
    <rPh sb="0" eb="1">
      <t>アキ</t>
    </rPh>
    <rPh sb="2" eb="5">
      <t>ダイガクイン</t>
    </rPh>
    <rPh sb="5" eb="7">
      <t>ザイガク</t>
    </rPh>
    <rPh sb="7" eb="9">
      <t>サイヨウ</t>
    </rPh>
    <phoneticPr fontId="2"/>
  </si>
  <si>
    <t>大学院申込</t>
    <rPh sb="0" eb="3">
      <t>ダイガクイン</t>
    </rPh>
    <rPh sb="3" eb="5">
      <t>モウシコミ</t>
    </rPh>
    <phoneticPr fontId="2"/>
  </si>
  <si>
    <t>ひとり親でない</t>
  </si>
  <si>
    <r>
      <t xml:space="preserve">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t>
    </r>
    <r>
      <rPr>
        <sz val="10"/>
        <color rgb="FFFF0000"/>
        <rFont val="ＭＳ Ｐゴシック"/>
        <family val="3"/>
        <charset val="128"/>
        <scheme val="minor"/>
      </rPr>
      <t>※大学院の申し込みの場合、01～09は表示されません。</t>
    </r>
    <rPh sb="109" eb="113">
      <t>ショトクキンガク</t>
    </rPh>
    <rPh sb="114" eb="116">
      <t>ニュウリョク</t>
    </rPh>
    <rPh sb="122" eb="125">
      <t>ダイガクイン</t>
    </rPh>
    <rPh sb="126" eb="127">
      <t>モウ</t>
    </rPh>
    <rPh sb="128" eb="129">
      <t>コ</t>
    </rPh>
    <rPh sb="131" eb="133">
      <t>バアイ</t>
    </rPh>
    <rPh sb="140" eb="142">
      <t>ヒョウジ</t>
    </rPh>
    <phoneticPr fontId="2"/>
  </si>
  <si>
    <t>※10以降は生計維持者に関する情報の入力になりますが、大学院の申し込みの場合、申込者本人及び申込者本人の配偶者</t>
    <rPh sb="6" eb="8">
      <t>セイケイ</t>
    </rPh>
    <rPh sb="8" eb="10">
      <t>イジ</t>
    </rPh>
    <rPh sb="10" eb="11">
      <t>シャ</t>
    </rPh>
    <rPh sb="12" eb="13">
      <t>カン</t>
    </rPh>
    <rPh sb="15" eb="17">
      <t>ジョウホウ</t>
    </rPh>
    <rPh sb="18" eb="20">
      <t>ニュウリョク</t>
    </rPh>
    <rPh sb="27" eb="30">
      <t>ダイガクインノモ</t>
    </rPh>
    <rPh sb="31" eb="38">
      <t>バアイ</t>
    </rPh>
    <phoneticPr fontId="2"/>
  </si>
  <si>
    <r>
      <t>12.11で「はい」を選択した場合のみ出現します</t>
    </r>
    <r>
      <rPr>
        <sz val="10"/>
        <color rgb="FFFF0000"/>
        <rFont val="ＭＳ Ｐゴシック"/>
        <family val="3"/>
        <charset val="128"/>
        <scheme val="minor"/>
      </rPr>
      <t>（大学院では出現しません）</t>
    </r>
    <r>
      <rPr>
        <sz val="10"/>
        <rFont val="ＭＳ Ｐゴシック"/>
        <family val="3"/>
        <charset val="128"/>
        <scheme val="minor"/>
      </rPr>
      <t>。基本的に「はい」を選択してください。本人の両親がいずれも死去している場合等で、父母でない方が生計維持者である場合のみ、配偶者がいる場合は「いいえ」を選択してください。</t>
    </r>
    <rPh sb="25" eb="28">
      <t>ダイガクイン</t>
    </rPh>
    <rPh sb="30" eb="32">
      <t>シュツゲン</t>
    </rPh>
    <phoneticPr fontId="2"/>
  </si>
  <si>
    <t>　に関する入力になります。以下の説明の「生計維持者」は「本人又は配偶者」に読み替えてください。</t>
    <rPh sb="13" eb="15">
      <t>イカ</t>
    </rPh>
    <rPh sb="16" eb="18">
      <t>セツメイ</t>
    </rPh>
    <rPh sb="20" eb="25">
      <t>セイケイイジシャ</t>
    </rPh>
    <rPh sb="28" eb="30">
      <t>ホンニン</t>
    </rPh>
    <rPh sb="30" eb="31">
      <t>マタ</t>
    </rPh>
    <rPh sb="32" eb="35">
      <t>ハイグウシャ</t>
    </rPh>
    <rPh sb="37" eb="38">
      <t>ヨ</t>
    </rPh>
    <rPh sb="39" eb="40">
      <t>カ</t>
    </rPh>
    <phoneticPr fontId="2"/>
  </si>
  <si>
    <r>
      <t>18.～29.生計維持者それぞれ（</t>
    </r>
    <r>
      <rPr>
        <sz val="10"/>
        <color rgb="FFFF0000"/>
        <rFont val="ＭＳ Ｐゴシック"/>
        <family val="3"/>
        <charset val="128"/>
        <scheme val="minor"/>
      </rPr>
      <t>大学院を除き、</t>
    </r>
    <r>
      <rPr>
        <sz val="10"/>
        <rFont val="ＭＳ Ｐゴシック"/>
        <family val="3"/>
        <charset val="128"/>
        <scheme val="minor"/>
      </rPr>
      <t>生計維持者２がおらず、生計維持者１に配偶者がいる場合は、加えて配偶者）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64" eb="66">
      <t>キュウヨ</t>
    </rPh>
    <rPh sb="66" eb="68">
      <t>シュウニュウ</t>
    </rPh>
    <rPh sb="69" eb="71">
      <t>コウテキ</t>
    </rPh>
    <rPh sb="71" eb="73">
      <t>ネンキン</t>
    </rPh>
    <rPh sb="73" eb="74">
      <t>トウ</t>
    </rPh>
    <rPh sb="75" eb="77">
      <t>ロウレイ</t>
    </rPh>
    <rPh sb="77" eb="79">
      <t>ネンキン</t>
    </rPh>
    <rPh sb="80" eb="82">
      <t>シュウニュウ</t>
    </rPh>
    <rPh sb="85" eb="87">
      <t>イガイ</t>
    </rPh>
    <rPh sb="88" eb="90">
      <t>ショトク</t>
    </rPh>
    <rPh sb="96" eb="98">
      <t>ツウカ</t>
    </rPh>
    <rPh sb="99" eb="101">
      <t>キンガク</t>
    </rPh>
    <rPh sb="102" eb="104">
      <t>ニュウリョク</t>
    </rPh>
    <rPh sb="113" eb="115">
      <t>モウシコ</t>
    </rPh>
    <rPh sb="115" eb="117">
      <t>クブン</t>
    </rPh>
    <rPh sb="118" eb="119">
      <t>モト</t>
    </rPh>
    <rPh sb="121" eb="123">
      <t>シンコク</t>
    </rPh>
    <rPh sb="130" eb="131">
      <t>ガツ</t>
    </rPh>
    <rPh sb="132" eb="133">
      <t>ニチ</t>
    </rPh>
    <rPh sb="136" eb="137">
      <t>ガツ</t>
    </rPh>
    <rPh sb="139" eb="140">
      <t>ニチ</t>
    </rPh>
    <rPh sb="141" eb="142">
      <t>エ</t>
    </rPh>
    <rPh sb="143" eb="145">
      <t>シュウニュウ</t>
    </rPh>
    <rPh sb="146" eb="148">
      <t>ショトク</t>
    </rPh>
    <rPh sb="150" eb="152">
      <t>ガッサン</t>
    </rPh>
    <rPh sb="152" eb="153">
      <t>ガク</t>
    </rPh>
    <rPh sb="165" eb="167">
      <t>ゲツブン</t>
    </rPh>
    <rPh sb="168" eb="170">
      <t>テイシュツ</t>
    </rPh>
    <rPh sb="171" eb="173">
      <t>コンナン</t>
    </rPh>
    <rPh sb="174" eb="176">
      <t>バアイ</t>
    </rPh>
    <rPh sb="180" eb="181">
      <t>ガツ</t>
    </rPh>
    <rPh sb="184" eb="186">
      <t>ガツブン</t>
    </rPh>
    <rPh sb="187" eb="189">
      <t>シュウニュウ</t>
    </rPh>
    <rPh sb="190" eb="192">
      <t>ショトク</t>
    </rPh>
    <rPh sb="194" eb="196">
      <t>ガッサン</t>
    </rPh>
    <rPh sb="196" eb="197">
      <t>ガク</t>
    </rPh>
    <rPh sb="199" eb="200">
      <t>バイ</t>
    </rPh>
    <rPh sb="201" eb="203">
      <t>ニュウリョク</t>
    </rPh>
    <rPh sb="207" eb="208">
      <t>ガツ</t>
    </rPh>
    <rPh sb="211" eb="213">
      <t>ガツブン</t>
    </rPh>
    <rPh sb="227" eb="228">
      <t>カ</t>
    </rPh>
    <rPh sb="240" eb="242">
      <t>キュウヨ</t>
    </rPh>
    <rPh sb="245" eb="247">
      <t>ショトク</t>
    </rPh>
    <rPh sb="248" eb="250">
      <t>ジギョウ</t>
    </rPh>
    <rPh sb="250" eb="252">
      <t>ショトク</t>
    </rPh>
    <rPh sb="253" eb="256">
      <t>フドウサン</t>
    </rPh>
    <rPh sb="256" eb="258">
      <t>ショトク</t>
    </rPh>
    <rPh sb="259" eb="261">
      <t>ジョウト</t>
    </rPh>
    <rPh sb="261" eb="263">
      <t>ショトク</t>
    </rPh>
    <rPh sb="264" eb="266">
      <t>ハイトウ</t>
    </rPh>
    <rPh sb="266" eb="268">
      <t>ショトク</t>
    </rPh>
    <rPh sb="268" eb="269">
      <t>トウ</t>
    </rPh>
    <rPh sb="271" eb="273">
      <t>キュウヨ</t>
    </rPh>
    <rPh sb="273" eb="275">
      <t>シュウニュウ</t>
    </rPh>
    <rPh sb="275" eb="277">
      <t>キンガク</t>
    </rPh>
    <rPh sb="278" eb="279">
      <t>フク</t>
    </rPh>
    <rPh sb="293" eb="295">
      <t>コウテキ</t>
    </rPh>
    <rPh sb="295" eb="297">
      <t>ネンキン</t>
    </rPh>
    <rPh sb="297" eb="298">
      <t>トウ</t>
    </rPh>
    <rPh sb="300" eb="302">
      <t>ロウレイ</t>
    </rPh>
    <rPh sb="302" eb="304">
      <t>ネンキン</t>
    </rPh>
    <rPh sb="305" eb="306">
      <t>サ</t>
    </rPh>
    <rPh sb="310" eb="312">
      <t>イゾク</t>
    </rPh>
    <rPh sb="312" eb="314">
      <t>ネンキン</t>
    </rPh>
    <rPh sb="315" eb="317">
      <t>ショウガイ</t>
    </rPh>
    <rPh sb="317" eb="319">
      <t>ネンキン</t>
    </rPh>
    <rPh sb="323" eb="325">
      <t>セイド</t>
    </rPh>
    <rPh sb="326" eb="327">
      <t>フク</t>
    </rPh>
    <rPh sb="335" eb="337">
      <t>キュウヨ</t>
    </rPh>
    <rPh sb="338" eb="340">
      <t>ネンキン</t>
    </rPh>
    <rPh sb="340" eb="342">
      <t>イガイ</t>
    </rPh>
    <rPh sb="343" eb="345">
      <t>ショトク</t>
    </rPh>
    <rPh sb="349" eb="351">
      <t>ジギョウ</t>
    </rPh>
    <rPh sb="351" eb="353">
      <t>ショトク</t>
    </rPh>
    <rPh sb="354" eb="357">
      <t>フドウサン</t>
    </rPh>
    <rPh sb="357" eb="359">
      <t>ショトク</t>
    </rPh>
    <rPh sb="360" eb="362">
      <t>ジョウト</t>
    </rPh>
    <rPh sb="362" eb="364">
      <t>ショトク</t>
    </rPh>
    <rPh sb="365" eb="367">
      <t>ハイトウ</t>
    </rPh>
    <rPh sb="367" eb="369">
      <t>ショトク</t>
    </rPh>
    <rPh sb="369" eb="370">
      <t>トウ</t>
    </rPh>
    <rPh sb="371" eb="373">
      <t>ゴウケイ</t>
    </rPh>
    <rPh sb="373" eb="374">
      <t>ガク</t>
    </rPh>
    <rPh sb="375" eb="377">
      <t>ニュウリョク</t>
    </rPh>
    <phoneticPr fontId="2"/>
  </si>
  <si>
    <t>大学院の提出書類からひとり親に関する書類の〇を削除</t>
    <rPh sb="0" eb="3">
      <t>ダイガクイン</t>
    </rPh>
    <rPh sb="4" eb="6">
      <t>テイシュツ</t>
    </rPh>
    <rPh sb="6" eb="8">
      <t>ショルイ</t>
    </rPh>
    <rPh sb="13" eb="14">
      <t>オヤ</t>
    </rPh>
    <rPh sb="15" eb="16">
      <t>カン</t>
    </rPh>
    <rPh sb="18" eb="20">
      <t>ショルイ</t>
    </rPh>
    <rPh sb="23" eb="25">
      <t>サクジョ</t>
    </rPh>
    <phoneticPr fontId="2"/>
  </si>
  <si>
    <t>必要添付書類の「ひとり親世帯」表記みなおし（大学院以外）</t>
    <rPh sb="0" eb="2">
      <t>ヒツヨウ</t>
    </rPh>
    <rPh sb="2" eb="4">
      <t>テンプ</t>
    </rPh>
    <rPh sb="4" eb="6">
      <t>ショルイ</t>
    </rPh>
    <rPh sb="11" eb="12">
      <t>オヤ</t>
    </rPh>
    <rPh sb="12" eb="14">
      <t>セタイ</t>
    </rPh>
    <rPh sb="15" eb="17">
      <t>ヒョウキ</t>
    </rPh>
    <rPh sb="22" eb="24">
      <t>ダイガク</t>
    </rPh>
    <rPh sb="24" eb="25">
      <t>イン</t>
    </rPh>
    <rPh sb="25" eb="27">
      <t>イガイ</t>
    </rPh>
    <phoneticPr fontId="2"/>
  </si>
  <si>
    <t>年長の者</t>
    <rPh sb="0" eb="2">
      <t>ネンチョウ</t>
    </rPh>
    <rPh sb="3" eb="4">
      <t>シャ</t>
    </rPh>
    <phoneticPr fontId="2"/>
  </si>
  <si>
    <t>うち生計維</t>
    <rPh sb="2" eb="4">
      <t>セイケイ</t>
    </rPh>
    <phoneticPr fontId="2"/>
  </si>
  <si>
    <t>持者１より</t>
    <rPh sb="0" eb="1">
      <t>ジ</t>
    </rPh>
    <rPh sb="1" eb="2">
      <t>シャ</t>
    </rPh>
    <phoneticPr fontId="2"/>
  </si>
  <si>
    <t>－</t>
    <phoneticPr fontId="2"/>
  </si>
  <si>
    <t>（ yyyy / mm / dd ）</t>
    <phoneticPr fontId="2"/>
  </si>
  <si>
    <t>多子拡充対応</t>
    <rPh sb="0" eb="2">
      <t>タシ</t>
    </rPh>
    <rPh sb="2" eb="4">
      <t>カクジュウ</t>
    </rPh>
    <rPh sb="4" eb="6">
      <t>タイオウ</t>
    </rPh>
    <phoneticPr fontId="2"/>
  </si>
  <si>
    <t>D-1</t>
    <phoneticPr fontId="2"/>
  </si>
  <si>
    <t>D-2</t>
    <phoneticPr fontId="2"/>
  </si>
  <si>
    <t>E（ひ）</t>
    <phoneticPr fontId="2"/>
  </si>
  <si>
    <t>（貼り付け後、米ドルのみ、年末時点の東京市場ドル・円スポット中心相場に更新（日銀　外国為替市況）</t>
    <rPh sb="1" eb="2">
      <t>ハ</t>
    </rPh>
    <rPh sb="3" eb="4">
      <t>ツ</t>
    </rPh>
    <rPh sb="5" eb="6">
      <t>ゴ</t>
    </rPh>
    <rPh sb="7" eb="8">
      <t>ベイ</t>
    </rPh>
    <rPh sb="13" eb="15">
      <t>ネンマツ</t>
    </rPh>
    <rPh sb="15" eb="17">
      <t>ジテン</t>
    </rPh>
    <rPh sb="18" eb="20">
      <t>トウキョウ</t>
    </rPh>
    <rPh sb="20" eb="22">
      <t>シジョウ</t>
    </rPh>
    <rPh sb="25" eb="26">
      <t>エン</t>
    </rPh>
    <rPh sb="30" eb="32">
      <t>チュウシン</t>
    </rPh>
    <rPh sb="32" eb="34">
      <t>ソウバ</t>
    </rPh>
    <rPh sb="35" eb="37">
      <t>コウシン</t>
    </rPh>
    <rPh sb="38" eb="40">
      <t>ニチギン</t>
    </rPh>
    <rPh sb="41" eb="45">
      <t>ガイコクカワセ</t>
    </rPh>
    <rPh sb="45" eb="47">
      <t>シキョウ</t>
    </rPh>
    <phoneticPr fontId="2"/>
  </si>
  <si>
    <t>報告省令レート（令和7年1月分）</t>
    <phoneticPr fontId="4"/>
  </si>
  <si>
    <t>日本銀行国際局</t>
    <phoneticPr fontId="4"/>
  </si>
  <si>
    <t xml:space="preserve">  が定める相場（アメリカ合衆国通貨以外の通貨とアメリカ合衆国通貨との間</t>
    <phoneticPr fontId="4"/>
  </si>
  <si>
    <t>[令和7年1月中において適用]</t>
    <phoneticPr fontId="4"/>
  </si>
  <si>
    <t>円 (</t>
    <phoneticPr fontId="4"/>
  </si>
  <si>
    <t xml:space="preserve"> JPY)</t>
    <phoneticPr fontId="4"/>
  </si>
  <si>
    <t>カナダ・ドル (1 CAD)</t>
    <phoneticPr fontId="4"/>
  </si>
  <si>
    <t>0.716</t>
  </si>
  <si>
    <t>中国元 (1 CNY)</t>
    <phoneticPr fontId="4"/>
  </si>
  <si>
    <t>0.139</t>
  </si>
  <si>
    <t>スウェーデン・クローネ (1 SEK)</t>
    <phoneticPr fontId="4"/>
  </si>
  <si>
    <t>スイス・フラン (1 CHF)</t>
    <phoneticPr fontId="4"/>
  </si>
  <si>
    <t>1.14</t>
  </si>
  <si>
    <t>スターリング・ポンド (1 GBP)</t>
    <phoneticPr fontId="4"/>
  </si>
  <si>
    <t>1.27</t>
  </si>
  <si>
    <t>ユーロ (1 EUR)</t>
    <phoneticPr fontId="4"/>
  </si>
  <si>
    <t>1.06</t>
  </si>
  <si>
    <t>アラブ首長国連邦ディルハム (1 AED)</t>
    <phoneticPr fontId="4"/>
  </si>
  <si>
    <t>アルゼンチン・ペソ (1 ARS)</t>
    <phoneticPr fontId="4"/>
  </si>
  <si>
    <t>0.00100</t>
  </si>
  <si>
    <t>イスラエル・シェケル (1 ILS)</t>
    <phoneticPr fontId="4"/>
  </si>
  <si>
    <t xml:space="preserve">イラン・リアル (1 IRR) </t>
    <phoneticPr fontId="4"/>
  </si>
  <si>
    <t>インド・ルピー (1 INR)</t>
    <phoneticPr fontId="4"/>
  </si>
  <si>
    <t>0.0119</t>
  </si>
  <si>
    <t>インドネシア・ルピア (100 IDR)</t>
    <phoneticPr fontId="4"/>
  </si>
  <si>
    <t>0.00632</t>
  </si>
  <si>
    <t>オーストラリア・ドル (1 AUD)</t>
    <phoneticPr fontId="4"/>
  </si>
  <si>
    <t>0.653</t>
  </si>
  <si>
    <t>オマーン・リアル (1 OMR)</t>
    <phoneticPr fontId="4"/>
  </si>
  <si>
    <t>カタール・リアル (1 QAR)</t>
    <phoneticPr fontId="4"/>
  </si>
  <si>
    <t>韓国ウォン (100 KRW)</t>
    <phoneticPr fontId="4"/>
  </si>
  <si>
    <t>0.0717</t>
  </si>
  <si>
    <t>カンボジア・リエル (100 KHR)</t>
    <phoneticPr fontId="4"/>
  </si>
  <si>
    <t>0.0247</t>
  </si>
  <si>
    <t>クウェート・ディナール (1 KWD)</t>
    <phoneticPr fontId="4"/>
  </si>
  <si>
    <t>3.25</t>
  </si>
  <si>
    <t>ケニア・シリング (1 KES)</t>
    <phoneticPr fontId="4"/>
  </si>
  <si>
    <t>0.00774</t>
  </si>
  <si>
    <t>コロンビア・ペソ (100 COP)</t>
    <phoneticPr fontId="4"/>
  </si>
  <si>
    <t>0.0227</t>
  </si>
  <si>
    <t>サウジアラビア・リアル (1 SAR)</t>
    <phoneticPr fontId="4"/>
  </si>
  <si>
    <t>シンガポール・ドル(1 SGD)</t>
    <phoneticPr fontId="4"/>
  </si>
  <si>
    <t>0.748</t>
  </si>
  <si>
    <t>新台湾ドル (100 TWD)</t>
    <phoneticPr fontId="4"/>
  </si>
  <si>
    <t>3.09</t>
  </si>
  <si>
    <t>スリランカ・ルピー (100 LKR)</t>
    <phoneticPr fontId="4"/>
  </si>
  <si>
    <t>0.343</t>
  </si>
  <si>
    <t>セーシェル・ルピー (1 SCR)</t>
    <phoneticPr fontId="4"/>
  </si>
  <si>
    <t>0.0711</t>
  </si>
  <si>
    <t>タイ・バーツ (100 THB)</t>
    <phoneticPr fontId="4"/>
  </si>
  <si>
    <t>2.90</t>
  </si>
  <si>
    <t>タヒチ・パシフィックフラン (100 XPF)</t>
    <phoneticPr fontId="4"/>
  </si>
  <si>
    <t>0.893</t>
  </si>
  <si>
    <t>チェコ・コルナ (1 CZK)</t>
    <phoneticPr fontId="4"/>
  </si>
  <si>
    <t>0.0420</t>
  </si>
  <si>
    <t>チリ・ペソ (100 CLP)</t>
    <phoneticPr fontId="4"/>
  </si>
  <si>
    <t>0.103</t>
  </si>
  <si>
    <t>デンマーク・クローネ (1 DKK)</t>
    <phoneticPr fontId="4"/>
  </si>
  <si>
    <t>0.142</t>
  </si>
  <si>
    <t>トリニダード・トバゴ・ドル (1 TTD)</t>
    <phoneticPr fontId="4"/>
  </si>
  <si>
    <t>トルコ・リラ (1 TRY)</t>
    <phoneticPr fontId="4"/>
  </si>
  <si>
    <t>0.0290</t>
  </si>
  <si>
    <t>ナイジェリア・ナイラ (1 NGN)</t>
    <phoneticPr fontId="4"/>
  </si>
  <si>
    <t>0.000597</t>
  </si>
  <si>
    <t>ニュージーランド・ドル (1 NZD)</t>
    <phoneticPr fontId="4"/>
  </si>
  <si>
    <t>0.591</t>
  </si>
  <si>
    <t>ノルウェー・クローネ (1 NOK)</t>
    <phoneticPr fontId="4"/>
  </si>
  <si>
    <t>0.0905</t>
  </si>
  <si>
    <t>パキスタン・ルピー (1 PKR)</t>
    <phoneticPr fontId="4"/>
  </si>
  <si>
    <t>0.00360</t>
  </si>
  <si>
    <t>バヌアツ・バツ (100 VUV)</t>
    <phoneticPr fontId="4"/>
  </si>
  <si>
    <t>0.822</t>
  </si>
  <si>
    <t xml:space="preserve">  〃</t>
    <phoneticPr fontId="4"/>
  </si>
  <si>
    <t>パプアニューギニア・キナ (1 PGK)</t>
    <phoneticPr fontId="4"/>
  </si>
  <si>
    <t>0.253</t>
  </si>
  <si>
    <t>バーレーン・ディナール (1 BHD)</t>
    <phoneticPr fontId="4"/>
  </si>
  <si>
    <t>ハンガリー・フォリント (100 HUF)</t>
    <phoneticPr fontId="4"/>
  </si>
  <si>
    <t>0.259</t>
  </si>
  <si>
    <t>バングラデシュ・タカ (100 BDT)</t>
    <phoneticPr fontId="4"/>
  </si>
  <si>
    <t>0.837</t>
  </si>
  <si>
    <t>フィジー・ドル (1 FJD)</t>
    <phoneticPr fontId="4"/>
  </si>
  <si>
    <t>0.439</t>
  </si>
  <si>
    <t>フィリピン・ペソ (1 PHP)</t>
    <phoneticPr fontId="4"/>
  </si>
  <si>
    <t>0.0170</t>
  </si>
  <si>
    <t>ブラジル・レアル (1 BRL)</t>
    <phoneticPr fontId="4"/>
  </si>
  <si>
    <t>0.172</t>
  </si>
  <si>
    <t>ブルネイ・ドル (1 BND)</t>
    <phoneticPr fontId="4"/>
  </si>
  <si>
    <t>ベトナム・ドン (100 VND)</t>
    <phoneticPr fontId="4"/>
  </si>
  <si>
    <t>0.00394</t>
  </si>
  <si>
    <t>ベネズエラ・ボリーバル (1 VES)</t>
    <phoneticPr fontId="4"/>
  </si>
  <si>
    <t>0.0222</t>
  </si>
  <si>
    <t>ペルー・ヌエボ・ソル (1 PEN)</t>
    <phoneticPr fontId="4"/>
  </si>
  <si>
    <t>0.265</t>
  </si>
  <si>
    <t>ポーランド・ズロチ (1 PLN)</t>
    <phoneticPr fontId="4"/>
  </si>
  <si>
    <t>0.245</t>
  </si>
  <si>
    <t>香港ドル (1 HKD)</t>
    <phoneticPr fontId="4"/>
  </si>
  <si>
    <t>0.129</t>
  </si>
  <si>
    <t>マレーシア・リンギット (1 MYR)</t>
    <phoneticPr fontId="4"/>
  </si>
  <si>
    <t>0.225</t>
  </si>
  <si>
    <t>南アフリカ・ラント (1 ZAR)</t>
    <phoneticPr fontId="4"/>
  </si>
  <si>
    <t>0.0557</t>
  </si>
  <si>
    <t>ミャンマー・チャット (1 MMK)</t>
    <phoneticPr fontId="4"/>
  </si>
  <si>
    <t>メキシコ・ペソ (1 MXN)</t>
    <phoneticPr fontId="4"/>
  </si>
  <si>
    <t>0.0492</t>
  </si>
  <si>
    <t>モーリシャス・ルピー (1 MUR)</t>
    <phoneticPr fontId="4"/>
  </si>
  <si>
    <t>0.0215</t>
  </si>
  <si>
    <t>モロッコ・ディルハム (1 MAD)</t>
    <phoneticPr fontId="4"/>
  </si>
  <si>
    <t>0.101</t>
  </si>
  <si>
    <t>ヨルダン・ディナール (1 JOD)</t>
    <phoneticPr fontId="4"/>
  </si>
  <si>
    <t>ラオス・キップ (100 LAK)</t>
    <phoneticPr fontId="4"/>
  </si>
  <si>
    <t>0.00456</t>
  </si>
  <si>
    <t>ルーマニア・レイ (1 RON)</t>
    <phoneticPr fontId="4"/>
  </si>
  <si>
    <t>ルワンダ・フラン (100 RWF)</t>
    <phoneticPr fontId="4"/>
  </si>
  <si>
    <t>0.0731</t>
  </si>
  <si>
    <t>ロシア・ルーブル (1 RUB)</t>
    <phoneticPr fontId="4"/>
  </si>
  <si>
    <t>0.00989</t>
  </si>
  <si>
    <t>上記以外の外国通貨</t>
    <phoneticPr fontId="4"/>
  </si>
  <si>
    <t>（令和6年11月中における実勢相場の平均値）</t>
    <phoneticPr fontId="4"/>
  </si>
  <si>
    <t>父</t>
    <rPh sb="0" eb="1">
      <t>チチ</t>
    </rPh>
    <phoneticPr fontId="2"/>
  </si>
  <si>
    <t>母</t>
    <rPh sb="0" eb="1">
      <t>ハハ</t>
    </rPh>
    <phoneticPr fontId="2"/>
  </si>
  <si>
    <t>その他</t>
    <rPh sb="2" eb="3">
      <t>タ</t>
    </rPh>
    <phoneticPr fontId="2"/>
  </si>
  <si>
    <t>本人扶養判定</t>
    <rPh sb="0" eb="2">
      <t>ホンニン</t>
    </rPh>
    <rPh sb="2" eb="4">
      <t>フヨウ</t>
    </rPh>
    <rPh sb="4" eb="6">
      <t>ハンテイ</t>
    </rPh>
    <phoneticPr fontId="2"/>
  </si>
  <si>
    <t>←行ごと非表示</t>
    <rPh sb="1" eb="2">
      <t>ギョウ</t>
    </rPh>
    <rPh sb="4" eb="7">
      <t>ヒヒョウジ</t>
    </rPh>
    <phoneticPr fontId="2"/>
  </si>
  <si>
    <t>祖父</t>
    <rPh sb="0" eb="2">
      <t>ソフ</t>
    </rPh>
    <phoneticPr fontId="2"/>
  </si>
  <si>
    <t>祖母</t>
    <rPh sb="0" eb="2">
      <t>ソボ</t>
    </rPh>
    <phoneticPr fontId="2"/>
  </si>
  <si>
    <t>生計維持者が親または年下</t>
    <rPh sb="0" eb="2">
      <t>セイケイ</t>
    </rPh>
    <rPh sb="2" eb="4">
      <t>イジ</t>
    </rPh>
    <rPh sb="4" eb="5">
      <t>シャ</t>
    </rPh>
    <rPh sb="6" eb="7">
      <t>オヤ</t>
    </rPh>
    <rPh sb="10" eb="12">
      <t>トシシタ</t>
    </rPh>
    <phoneticPr fontId="2"/>
  </si>
  <si>
    <t>(項番33の内数)</t>
    <rPh sb="1" eb="3">
      <t>コウバン</t>
    </rPh>
    <rPh sb="6" eb="8">
      <t>ウチスウ</t>
    </rPh>
    <phoneticPr fontId="2"/>
  </si>
  <si>
    <t>【入力例】海外居住者のための収入等申告書</t>
    <rPh sb="1" eb="3">
      <t>ニュウリョク</t>
    </rPh>
    <rPh sb="3" eb="4">
      <t>レイ</t>
    </rPh>
    <rPh sb="5" eb="7">
      <t>カイガイ</t>
    </rPh>
    <rPh sb="7" eb="10">
      <t>キョジュウシャ</t>
    </rPh>
    <rPh sb="14" eb="16">
      <t>シュウニュウ</t>
    </rPh>
    <rPh sb="16" eb="17">
      <t>トウ</t>
    </rPh>
    <rPh sb="17" eb="19">
      <t>シンコク</t>
    </rPh>
    <rPh sb="19" eb="20">
      <t>ショ</t>
    </rPh>
    <phoneticPr fontId="2"/>
  </si>
  <si>
    <t>【記入にあたっての注意事項】</t>
    <rPh sb="1" eb="3">
      <t>キニュウ</t>
    </rPh>
    <rPh sb="9" eb="11">
      <t>チュウイ</t>
    </rPh>
    <rPh sb="11" eb="13">
      <t>ジコウ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</si>
  <si>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※大学院の申し込みの場合、01～09は表示されません。</t>
    <rPh sb="109" eb="113">
      <t>ショトクキンガク</t>
    </rPh>
    <rPh sb="114" eb="116">
      <t>ニュウリョク</t>
    </rPh>
    <rPh sb="122" eb="125">
      <t>ダイガクイン</t>
    </rPh>
    <rPh sb="126" eb="127">
      <t>モウ</t>
    </rPh>
    <rPh sb="128" eb="129">
      <t>コ</t>
    </rPh>
    <rPh sb="131" eb="133">
      <t>バアイ</t>
    </rPh>
    <rPh sb="140" eb="142">
      <t>ヒョウジ</t>
    </rPh>
    <phoneticPr fontId="2"/>
  </si>
  <si>
    <t>機構使用欄の見直し（本人扶養区分表示、旧貸与基準のための年収等削除）</t>
    <rPh sb="0" eb="2">
      <t>キコウ</t>
    </rPh>
    <rPh sb="2" eb="4">
      <t>シヨウ</t>
    </rPh>
    <rPh sb="4" eb="5">
      <t>ラン</t>
    </rPh>
    <rPh sb="6" eb="8">
      <t>ミナオ</t>
    </rPh>
    <rPh sb="10" eb="12">
      <t>ホンニン</t>
    </rPh>
    <rPh sb="12" eb="14">
      <t>フヨウ</t>
    </rPh>
    <rPh sb="14" eb="16">
      <t>クブン</t>
    </rPh>
    <rPh sb="16" eb="18">
      <t>ヒョウジ</t>
    </rPh>
    <rPh sb="19" eb="20">
      <t>キュウ</t>
    </rPh>
    <rPh sb="20" eb="22">
      <t>タイヨ</t>
    </rPh>
    <rPh sb="22" eb="24">
      <t>キジュン</t>
    </rPh>
    <rPh sb="28" eb="30">
      <t>ネンシュウ</t>
    </rPh>
    <rPh sb="30" eb="31">
      <t>トウ</t>
    </rPh>
    <rPh sb="31" eb="33">
      <t>サクジョ</t>
    </rPh>
    <phoneticPr fontId="2"/>
  </si>
  <si>
    <t>扶養親族が生計維持者より年上かの入力欄作成・子の数の条件変更</t>
    <rPh sb="0" eb="2">
      <t>フヨウ</t>
    </rPh>
    <rPh sb="2" eb="4">
      <t>シンゾク</t>
    </rPh>
    <rPh sb="5" eb="10">
      <t>セイケイイジシャ</t>
    </rPh>
    <rPh sb="12" eb="14">
      <t>トシウエ</t>
    </rPh>
    <rPh sb="16" eb="18">
      <t>ニュウリョク</t>
    </rPh>
    <rPh sb="18" eb="19">
      <t>ラン</t>
    </rPh>
    <rPh sb="19" eb="21">
      <t>サクセイ</t>
    </rPh>
    <rPh sb="22" eb="23">
      <t>コ</t>
    </rPh>
    <rPh sb="24" eb="25">
      <t>カズ</t>
    </rPh>
    <rPh sb="26" eb="28">
      <t>ジョウケン</t>
    </rPh>
    <rPh sb="28" eb="30">
      <t>ヘンコウ</t>
    </rPh>
    <phoneticPr fontId="2"/>
  </si>
  <si>
    <t>本人扶養区分の追加</t>
    <rPh sb="0" eb="2">
      <t>ホンニン</t>
    </rPh>
    <rPh sb="2" eb="4">
      <t>フヨウ</t>
    </rPh>
    <rPh sb="4" eb="6">
      <t>クブン</t>
    </rPh>
    <rPh sb="7" eb="9">
      <t>ツイカ</t>
    </rPh>
    <phoneticPr fontId="2"/>
  </si>
  <si>
    <t>基本情報の入力欄見直し（生計維持者の続柄の入力欄作成、どのような状況でも維持者２がいる場合は維持者２情報を入れさせるため情報追加、見た目の整理）</t>
    <rPh sb="0" eb="2">
      <t>キホン</t>
    </rPh>
    <rPh sb="2" eb="4">
      <t>ジョウホウ</t>
    </rPh>
    <rPh sb="5" eb="7">
      <t>ニュウリョク</t>
    </rPh>
    <rPh sb="7" eb="8">
      <t>ラン</t>
    </rPh>
    <rPh sb="8" eb="10">
      <t>ミナオ</t>
    </rPh>
    <rPh sb="12" eb="14">
      <t>セイケイ</t>
    </rPh>
    <rPh sb="14" eb="16">
      <t>イジ</t>
    </rPh>
    <rPh sb="16" eb="17">
      <t>シャ</t>
    </rPh>
    <rPh sb="18" eb="20">
      <t>ツヅキガラ</t>
    </rPh>
    <rPh sb="21" eb="23">
      <t>ニュウリョク</t>
    </rPh>
    <rPh sb="23" eb="24">
      <t>ラン</t>
    </rPh>
    <rPh sb="24" eb="26">
      <t>サクセイ</t>
    </rPh>
    <rPh sb="32" eb="34">
      <t>ジョウキョウ</t>
    </rPh>
    <rPh sb="36" eb="38">
      <t>イジ</t>
    </rPh>
    <rPh sb="38" eb="39">
      <t>シャ</t>
    </rPh>
    <rPh sb="43" eb="45">
      <t>バアイ</t>
    </rPh>
    <rPh sb="46" eb="48">
      <t>イジ</t>
    </rPh>
    <rPh sb="48" eb="49">
      <t>シャ</t>
    </rPh>
    <rPh sb="50" eb="52">
      <t>ジョウホウ</t>
    </rPh>
    <rPh sb="53" eb="54">
      <t>イ</t>
    </rPh>
    <rPh sb="60" eb="62">
      <t>ジョウホウ</t>
    </rPh>
    <rPh sb="62" eb="64">
      <t>ツイカ</t>
    </rPh>
    <rPh sb="65" eb="66">
      <t>ミ</t>
    </rPh>
    <rPh sb="67" eb="68">
      <t>メ</t>
    </rPh>
    <rPh sb="69" eb="71">
      <t>セイリ</t>
    </rPh>
    <phoneticPr fontId="2"/>
  </si>
  <si>
    <t>維持者２がいる場合「配偶者は生計維持者２ですか」が無意味になるため設問ごと削除</t>
    <rPh sb="0" eb="2">
      <t>イジ</t>
    </rPh>
    <rPh sb="2" eb="3">
      <t>シャ</t>
    </rPh>
    <rPh sb="7" eb="9">
      <t>バアイ</t>
    </rPh>
    <rPh sb="10" eb="13">
      <t>ハイグウシャ</t>
    </rPh>
    <rPh sb="14" eb="19">
      <t>セイケイイジシャ</t>
    </rPh>
    <rPh sb="25" eb="28">
      <t>ムイミ</t>
    </rPh>
    <rPh sb="33" eb="35">
      <t>セツモン</t>
    </rPh>
    <rPh sb="37" eb="39">
      <t>サクジョ</t>
    </rPh>
    <phoneticPr fontId="2"/>
  </si>
  <si>
    <t>(項番32の内数)</t>
    <rPh sb="1" eb="3">
      <t>コウバン</t>
    </rPh>
    <rPh sb="6" eb="8">
      <t>ウチスウ</t>
    </rPh>
    <phoneticPr fontId="2"/>
  </si>
  <si>
    <t>14.ひとり親の選択は、11で「いいえ」を選択した場合のみ選択が必要です。</t>
    <rPh sb="6" eb="7">
      <t>オヤ</t>
    </rPh>
    <rPh sb="8" eb="10">
      <t>センタク</t>
    </rPh>
    <rPh sb="29" eb="31">
      <t>センタク</t>
    </rPh>
    <rPh sb="32" eb="34">
      <t>ヒツヨウ</t>
    </rPh>
    <phoneticPr fontId="2"/>
  </si>
  <si>
    <t>35.～37.・44.～46.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</si>
  <si>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12345678</t>
    <phoneticPr fontId="2"/>
  </si>
  <si>
    <t>101</t>
    <phoneticPr fontId="2"/>
  </si>
  <si>
    <t>機構　太郎</t>
    <rPh sb="0" eb="2">
      <t>キコウ</t>
    </rPh>
    <rPh sb="3" eb="5">
      <t>タロウ</t>
    </rPh>
    <phoneticPr fontId="2"/>
  </si>
  <si>
    <t>機構　父</t>
    <rPh sb="0" eb="2">
      <t>キコウ</t>
    </rPh>
    <rPh sb="3" eb="4">
      <t>チチ</t>
    </rPh>
    <phoneticPr fontId="2"/>
  </si>
  <si>
    <t>901234</t>
    <phoneticPr fontId="2"/>
  </si>
  <si>
    <t>　A</t>
    <phoneticPr fontId="2"/>
  </si>
  <si>
    <t>　B</t>
    <phoneticPr fontId="2"/>
  </si>
  <si>
    <t>　C</t>
    <phoneticPr fontId="2"/>
  </si>
  <si>
    <t>本人扶養</t>
    <rPh sb="0" eb="2">
      <t>ホンニン</t>
    </rPh>
    <rPh sb="2" eb="4">
      <t>フヨウ</t>
    </rPh>
    <phoneticPr fontId="2"/>
  </si>
  <si>
    <t>本人_ひとり親控除</t>
    <rPh sb="6" eb="7">
      <t>オヤ</t>
    </rPh>
    <phoneticPr fontId="2"/>
  </si>
  <si>
    <t>維持者１_ひとり親控除</t>
    <rPh sb="8" eb="9">
      <t>オヤ</t>
    </rPh>
    <phoneticPr fontId="2"/>
  </si>
  <si>
    <t>維持者２_ひとり親控除</t>
    <rPh sb="8" eb="9">
      <t>オヤ</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</si>
  <si>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の年収等については本申告書を提出します。（ただし、後者の場合も、生計維持者２の分の収入等を入力する必要はあります。）生計維持者の情報は、申込時のスカラネット（採用後の場合は、在籍報告）入力と同じにしてください。</t>
    <rPh sb="35" eb="36">
      <t>ヒト</t>
    </rPh>
    <rPh sb="148" eb="150">
      <t>ネンシュウ</t>
    </rPh>
    <rPh sb="150" eb="151">
      <t>トウ</t>
    </rPh>
    <rPh sb="172" eb="174">
      <t>コウシャ</t>
    </rPh>
    <rPh sb="175" eb="177">
      <t>バアイ</t>
    </rPh>
    <rPh sb="179" eb="184">
      <t>セイケイイジシャ</t>
    </rPh>
    <rPh sb="186" eb="187">
      <t>ブン</t>
    </rPh>
    <rPh sb="188" eb="190">
      <t>シュウニュウ</t>
    </rPh>
    <rPh sb="190" eb="191">
      <t>トウ</t>
    </rPh>
    <rPh sb="192" eb="194">
      <t>ニュウリョク</t>
    </rPh>
    <rPh sb="196" eb="198">
      <t>ヒツヨウ</t>
    </rPh>
    <rPh sb="205" eb="207">
      <t>セイケイ</t>
    </rPh>
    <rPh sb="207" eb="209">
      <t>イジ</t>
    </rPh>
    <rPh sb="209" eb="210">
      <t>シャ</t>
    </rPh>
    <rPh sb="211" eb="213">
      <t>ジョウホウ</t>
    </rPh>
    <rPh sb="215" eb="217">
      <t>モウシコミ</t>
    </rPh>
    <rPh sb="217" eb="218">
      <t>ジ</t>
    </rPh>
    <rPh sb="226" eb="229">
      <t>サイヨウゴ</t>
    </rPh>
    <rPh sb="230" eb="232">
      <t>バアイ</t>
    </rPh>
    <rPh sb="234" eb="236">
      <t>ザイセキ</t>
    </rPh>
    <rPh sb="236" eb="238">
      <t>ホウコク</t>
    </rPh>
    <rPh sb="239" eb="241">
      <t>ニュウリョク</t>
    </rPh>
    <rPh sb="242" eb="243">
      <t>オナ</t>
    </rPh>
    <phoneticPr fontId="2"/>
  </si>
  <si>
    <t>※複数の通貨による同一の種類の収入（例えば、米ドルと日本円それぞれによる給与収入）がある場合には、１つの通貨にまとめて計上してください。その際に用いるレートは、申込等で参照する税情報に応じた年（入力した収入（所得）の年の次の年）の、日本銀行が公表する１月分の報告省令レート（ただし、米ドルと日本円間のレートについては同年１月１日時点の最新の為替レート）を用いてください。</t>
    <rPh sb="80" eb="82">
      <t>モウシコミ</t>
    </rPh>
    <rPh sb="82" eb="83">
      <t>トウ</t>
    </rPh>
    <rPh sb="84" eb="86">
      <t>サンショウ</t>
    </rPh>
    <rPh sb="88" eb="89">
      <t>ゼイ</t>
    </rPh>
    <rPh sb="89" eb="91">
      <t>ジョウホウ</t>
    </rPh>
    <rPh sb="92" eb="93">
      <t>オウ</t>
    </rPh>
    <rPh sb="95" eb="96">
      <t>ネン</t>
    </rPh>
    <rPh sb="97" eb="99">
      <t>ニュウリョク</t>
    </rPh>
    <rPh sb="101" eb="103">
      <t>シュウニュウ</t>
    </rPh>
    <rPh sb="104" eb="106">
      <t>ショトク</t>
    </rPh>
    <rPh sb="108" eb="109">
      <t>ネン</t>
    </rPh>
    <rPh sb="110" eb="111">
      <t>ツギ</t>
    </rPh>
    <rPh sb="112" eb="113">
      <t>トシ</t>
    </rPh>
    <rPh sb="116" eb="118">
      <t>ニホン</t>
    </rPh>
    <rPh sb="118" eb="120">
      <t>ギンコウ</t>
    </rPh>
    <rPh sb="121" eb="123">
      <t>コウヒョウ</t>
    </rPh>
    <phoneticPr fontId="2"/>
  </si>
  <si>
    <t>29.～34.・38.～43.ここでは、それぞれの生計維持者が扶養している親族の人数を入力します。「扶養している」とは、仮に所得税法が適用されているとした場合に扶養親族（親族は、配偶者を除く６親等内の血族及び３親等内の姻族）となる者をいいます（国内に居住している場合は、課税証明書の情報をそのまま入力してください）。23～69歳の扶養親族（項番33と42）については、そのうち、生計維持者より年長の者が何人であるかも入力してください。扶養親族については、国内に居住しているか否かにかかわらず、生計維持者との関係を証明する書類が必要です。</t>
    <rPh sb="25" eb="27">
      <t>セイケイ</t>
    </rPh>
    <rPh sb="27" eb="29">
      <t>イジ</t>
    </rPh>
    <rPh sb="29" eb="30">
      <t>シャ</t>
    </rPh>
    <rPh sb="31" eb="33">
      <t>フヨウ</t>
    </rPh>
    <rPh sb="37" eb="39">
      <t>シンゾク</t>
    </rPh>
    <rPh sb="40" eb="42">
      <t>ニンズウ</t>
    </rPh>
    <rPh sb="43" eb="45">
      <t>ニュウリョク</t>
    </rPh>
    <rPh sb="50" eb="52">
      <t>フヨウ</t>
    </rPh>
    <rPh sb="60" eb="61">
      <t>カリ</t>
    </rPh>
    <rPh sb="62" eb="64">
      <t>ショトク</t>
    </rPh>
    <rPh sb="64" eb="66">
      <t>ゼイホウ</t>
    </rPh>
    <rPh sb="67" eb="69">
      <t>テキヨウ</t>
    </rPh>
    <rPh sb="77" eb="79">
      <t>バアイ</t>
    </rPh>
    <rPh sb="80" eb="82">
      <t>フヨウ</t>
    </rPh>
    <rPh sb="82" eb="84">
      <t>シンゾク</t>
    </rPh>
    <rPh sb="85" eb="87">
      <t>シンゾク</t>
    </rPh>
    <rPh sb="89" eb="92">
      <t>ハイグウシャ</t>
    </rPh>
    <rPh sb="93" eb="94">
      <t>ノゾ</t>
    </rPh>
    <rPh sb="96" eb="98">
      <t>シントウ</t>
    </rPh>
    <rPh sb="98" eb="99">
      <t>ナイ</t>
    </rPh>
    <rPh sb="100" eb="102">
      <t>ケツゾク</t>
    </rPh>
    <rPh sb="102" eb="103">
      <t>オヨ</t>
    </rPh>
    <rPh sb="105" eb="107">
      <t>シントウ</t>
    </rPh>
    <rPh sb="107" eb="108">
      <t>ナイ</t>
    </rPh>
    <rPh sb="109" eb="111">
      <t>インゾク</t>
    </rPh>
    <rPh sb="115" eb="116">
      <t>シャ</t>
    </rPh>
    <rPh sb="122" eb="124">
      <t>コクナイ</t>
    </rPh>
    <rPh sb="125" eb="127">
      <t>キョジュウ</t>
    </rPh>
    <rPh sb="131" eb="133">
      <t>バアイ</t>
    </rPh>
    <rPh sb="135" eb="137">
      <t>カゼイ</t>
    </rPh>
    <rPh sb="137" eb="140">
      <t>ショウメイショ</t>
    </rPh>
    <rPh sb="141" eb="143">
      <t>ジョウホウ</t>
    </rPh>
    <rPh sb="148" eb="150">
      <t>ニュウリョク</t>
    </rPh>
    <rPh sb="163" eb="164">
      <t>サイ</t>
    </rPh>
    <rPh sb="165" eb="167">
      <t>フヨウ</t>
    </rPh>
    <rPh sb="167" eb="169">
      <t>シンゾク</t>
    </rPh>
    <rPh sb="170" eb="172">
      <t>コウバン</t>
    </rPh>
    <rPh sb="189" eb="191">
      <t>セイケイ</t>
    </rPh>
    <rPh sb="191" eb="193">
      <t>イジ</t>
    </rPh>
    <rPh sb="193" eb="194">
      <t>シャ</t>
    </rPh>
    <rPh sb="196" eb="198">
      <t>ネンチョウ</t>
    </rPh>
    <rPh sb="199" eb="200">
      <t>シャ</t>
    </rPh>
    <rPh sb="201" eb="203">
      <t>ナンニン</t>
    </rPh>
    <rPh sb="208" eb="210">
      <t>ニュウリョク</t>
    </rPh>
    <rPh sb="217" eb="219">
      <t>フヨウ</t>
    </rPh>
    <rPh sb="219" eb="221">
      <t>シンゾク</t>
    </rPh>
    <rPh sb="227" eb="229">
      <t>コクナイ</t>
    </rPh>
    <rPh sb="230" eb="232">
      <t>キョジュウ</t>
    </rPh>
    <rPh sb="237" eb="238">
      <t>イナ</t>
    </rPh>
    <rPh sb="246" eb="251">
      <t>セイケイイジシャ</t>
    </rPh>
    <rPh sb="253" eb="255">
      <t>カンケイ</t>
    </rPh>
    <rPh sb="256" eb="258">
      <t>ショウメイ</t>
    </rPh>
    <rPh sb="260" eb="262">
      <t>ショルイ</t>
    </rPh>
    <rPh sb="263" eb="265">
      <t>ヒツヨウ</t>
    </rPh>
    <phoneticPr fontId="2"/>
  </si>
  <si>
    <t>③生計維持者に扶養親族がいる場合　その親族との関係（親子等）を明らかにする公的な書類（住民票、戸籍謄本、婚姻証明書等に該当する書類等）及びその和訳
④生計維持者は原則父母ですが、１人しかいない場合、その旨（離婚・未婚・死別等）により現在生計維持者が１人のみである証明書
（大学院の場合、申込者本人がひとり親である場合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1" eb="83">
      <t>ゲンソク</t>
    </rPh>
    <rPh sb="83" eb="85">
      <t>フボ</t>
    </rPh>
    <rPh sb="90" eb="91">
      <t>ニン</t>
    </rPh>
    <rPh sb="96" eb="98">
      <t>バアイ</t>
    </rPh>
    <rPh sb="101" eb="102">
      <t>ムネ</t>
    </rPh>
    <rPh sb="106" eb="108">
      <t>ミコン</t>
    </rPh>
    <rPh sb="116" eb="118">
      <t>ゲンザイ</t>
    </rPh>
    <rPh sb="118" eb="123">
      <t>セイケイイジシャ</t>
    </rPh>
    <rPh sb="125" eb="126">
      <t>ニン</t>
    </rPh>
    <rPh sb="131" eb="134">
      <t>ショウメイショ</t>
    </rPh>
    <rPh sb="136" eb="139">
      <t>ダイガクイン</t>
    </rPh>
    <rPh sb="140" eb="142">
      <t>バアイ</t>
    </rPh>
    <rPh sb="143" eb="145">
      <t>モウシコミ</t>
    </rPh>
    <rPh sb="145" eb="146">
      <t>シャ</t>
    </rPh>
    <rPh sb="146" eb="148">
      <t>ホンニン</t>
    </rPh>
    <rPh sb="152" eb="153">
      <t>オヤ</t>
    </rPh>
    <rPh sb="156" eb="158">
      <t>バアイ</t>
    </rPh>
    <rPh sb="161" eb="162">
      <t>シャ</t>
    </rPh>
    <rPh sb="166" eb="167">
      <t>オヤ</t>
    </rPh>
    <rPh sb="173" eb="174">
      <t>シメ</t>
    </rPh>
    <rPh sb="175" eb="177">
      <t>コウテキ</t>
    </rPh>
    <rPh sb="177" eb="180">
      <t>ショウメイショ</t>
    </rPh>
    <rPh sb="181" eb="183">
      <t>コセキ</t>
    </rPh>
    <rPh sb="183" eb="185">
      <t>トウホン</t>
    </rPh>
    <rPh sb="185" eb="186">
      <t>トウ</t>
    </rPh>
    <rPh sb="188" eb="189">
      <t>オヨ</t>
    </rPh>
    <rPh sb="192" eb="194">
      <t>ワヤク</t>
    </rPh>
    <phoneticPr fontId="3"/>
  </si>
  <si>
    <t>(1)奨学金申込者（以下、「本人」という）や生計維持者が、１月１日時点で海外に居住していることを理由として日本国内で住民税を課されていない場合には、この申告書を提出してください。本申告書等に基づき、当機構においてその者の算定基準額を算出し、奨学金の選考等を実施します。採用された後、給付奨学生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4" eb="136">
      <t>サイヨウ</t>
    </rPh>
    <rPh sb="139" eb="140">
      <t>アト</t>
    </rPh>
    <rPh sb="141" eb="143">
      <t>キュウフ</t>
    </rPh>
    <rPh sb="143" eb="146">
      <t>ショウガクセイ</t>
    </rPh>
    <rPh sb="148" eb="150">
      <t>カイガイ</t>
    </rPh>
    <rPh sb="151" eb="152">
      <t>エ</t>
    </rPh>
    <rPh sb="153" eb="156">
      <t>シュウニュウトウ</t>
    </rPh>
    <rPh sb="159" eb="160">
      <t>カギ</t>
    </rPh>
    <rPh sb="162" eb="164">
      <t>マイトシ</t>
    </rPh>
    <rPh sb="164" eb="166">
      <t>テイシュツ</t>
    </rPh>
    <phoneticPr fontId="2"/>
  </si>
  <si>
    <t>03.本人が、所得税法に定める（もしくは、所得税法の定めに該当すると考えられる）障がい者であるかを選択します。</t>
    <phoneticPr fontId="2"/>
  </si>
  <si>
    <t>13.・16.生計維持者が所得税法に定める（もしくは、所得税法の定めに該当すると考えられる）障がい者であるかを選択します。</t>
    <rPh sb="27" eb="29">
      <t>ショトク</t>
    </rPh>
    <rPh sb="29" eb="31">
      <t>ゼイホウ</t>
    </rPh>
    <rPh sb="32" eb="33">
      <t>サダ</t>
    </rPh>
    <rPh sb="35" eb="37">
      <t>ガイトウ</t>
    </rPh>
    <rPh sb="40" eb="41">
      <t>カンガ</t>
    </rPh>
    <rPh sb="46" eb="47">
      <t>ショウ</t>
    </rPh>
    <rPh sb="49" eb="50">
      <t>シャ</t>
    </rPh>
    <phoneticPr fontId="2"/>
  </si>
  <si>
    <t>所得金額調整控除適用前合計所得金額</t>
    <rPh sb="0" eb="2">
      <t>ショトク</t>
    </rPh>
    <rPh sb="2" eb="4">
      <t>キンガク</t>
    </rPh>
    <rPh sb="4" eb="6">
      <t>チョウセイ</t>
    </rPh>
    <rPh sb="6" eb="8">
      <t>コウジョ</t>
    </rPh>
    <rPh sb="8" eb="10">
      <t>テキヨウ</t>
    </rPh>
    <rPh sb="10" eb="11">
      <t>マエ</t>
    </rPh>
    <rPh sb="11" eb="17">
      <t>ゴウケイショトクキンガク</t>
    </rPh>
    <phoneticPr fontId="2"/>
  </si>
  <si>
    <t>所得金額調整控除適用前給与所得金額</t>
    <rPh sb="0" eb="2">
      <t>ショトク</t>
    </rPh>
    <rPh sb="2" eb="4">
      <t>キンガク</t>
    </rPh>
    <rPh sb="4" eb="6">
      <t>チョウセイ</t>
    </rPh>
    <rPh sb="6" eb="8">
      <t>コウジョ</t>
    </rPh>
    <rPh sb="8" eb="10">
      <t>テキヨウ</t>
    </rPh>
    <rPh sb="10" eb="11">
      <t>マエ</t>
    </rPh>
    <rPh sb="11" eb="13">
      <t>キュウヨ</t>
    </rPh>
    <rPh sb="13" eb="15">
      <t>ショトク</t>
    </rPh>
    <rPh sb="15" eb="17">
      <t>キンガク</t>
    </rPh>
    <phoneticPr fontId="2"/>
  </si>
  <si>
    <t>3/3更新により続柄を確認することになったことに伴い、所得金額調整控除の算定等をより正確に行えるよう更新した。</t>
    <rPh sb="3" eb="5">
      <t>コウシン</t>
    </rPh>
    <rPh sb="8" eb="10">
      <t>ツヅキガラ</t>
    </rPh>
    <rPh sb="11" eb="13">
      <t>カクニン</t>
    </rPh>
    <rPh sb="24" eb="25">
      <t>トモナ</t>
    </rPh>
    <rPh sb="27" eb="35">
      <t>ショトクキンガクチョウセイコウジョ</t>
    </rPh>
    <rPh sb="36" eb="38">
      <t>サンテイ</t>
    </rPh>
    <rPh sb="38" eb="39">
      <t>トウ</t>
    </rPh>
    <rPh sb="42" eb="44">
      <t>セイカク</t>
    </rPh>
    <rPh sb="45" eb="46">
      <t>オコナ</t>
    </rPh>
    <rPh sb="50" eb="52">
      <t>コウシン</t>
    </rPh>
    <phoneticPr fontId="2"/>
  </si>
  <si>
    <t>表示関係の修正</t>
    <rPh sb="0" eb="2">
      <t>ヒョウジ</t>
    </rPh>
    <rPh sb="2" eb="4">
      <t>カンケイ</t>
    </rPh>
    <rPh sb="5" eb="7">
      <t>シュウセイ</t>
    </rPh>
    <phoneticPr fontId="2"/>
  </si>
  <si>
    <t>★</t>
    <phoneticPr fontId="2"/>
  </si>
  <si>
    <t>★の者が1/1時</t>
  </si>
  <si>
    <t>点で日本国内に</t>
  </si>
  <si>
    <t>居住していた場</t>
  </si>
  <si>
    <t>合でも入力して</t>
  </si>
  <si>
    <t>ください。</t>
  </si>
  <si>
    <t>扶養の情報は、</t>
  </si>
  <si>
    <t>1/1時点で日本</t>
  </si>
  <si>
    <t>国内に居住して</t>
  </si>
  <si>
    <t>いた者は課税証</t>
  </si>
  <si>
    <t>明書の扶養親族</t>
  </si>
  <si>
    <t>の数を入力して</t>
  </si>
  <si>
    <t>ください(下欄)。</t>
  </si>
  <si>
    <t>うち★の</t>
  </si>
  <si>
    <t>者より</t>
  </si>
  <si>
    <t>17.～28.生計維持者それぞれ（大学院を除き、生計維持者２がおらず、生計維持者１に配偶者がいる場合は、加えて配偶者。大学院の場合、本人及び配偶者。以下同じ）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59" eb="62">
      <t>ダイガクイン</t>
    </rPh>
    <rPh sb="63" eb="65">
      <t>バアイ</t>
    </rPh>
    <rPh sb="66" eb="68">
      <t>ホンニン</t>
    </rPh>
    <rPh sb="68" eb="69">
      <t>オヨ</t>
    </rPh>
    <rPh sb="70" eb="73">
      <t>ハイグウシャ</t>
    </rPh>
    <rPh sb="74" eb="76">
      <t>イカ</t>
    </rPh>
    <rPh sb="76" eb="77">
      <t>オナ</t>
    </rPh>
    <rPh sb="84" eb="86">
      <t>キュウヨ</t>
    </rPh>
    <rPh sb="86" eb="88">
      <t>シュウニュウ</t>
    </rPh>
    <rPh sb="89" eb="91">
      <t>コウテキ</t>
    </rPh>
    <rPh sb="91" eb="93">
      <t>ネンキン</t>
    </rPh>
    <rPh sb="93" eb="94">
      <t>トウ</t>
    </rPh>
    <rPh sb="95" eb="97">
      <t>ロウレイ</t>
    </rPh>
    <rPh sb="97" eb="99">
      <t>ネンキン</t>
    </rPh>
    <rPh sb="100" eb="102">
      <t>シュウニュウ</t>
    </rPh>
    <rPh sb="105" eb="107">
      <t>イガイ</t>
    </rPh>
    <rPh sb="108" eb="110">
      <t>ショトク</t>
    </rPh>
    <rPh sb="116" eb="118">
      <t>ツウカ</t>
    </rPh>
    <rPh sb="119" eb="121">
      <t>キンガク</t>
    </rPh>
    <rPh sb="122" eb="124">
      <t>ニュウリョク</t>
    </rPh>
    <rPh sb="133" eb="135">
      <t>モウシコ</t>
    </rPh>
    <rPh sb="135" eb="137">
      <t>クブン</t>
    </rPh>
    <rPh sb="138" eb="139">
      <t>モト</t>
    </rPh>
    <rPh sb="141" eb="143">
      <t>シンコク</t>
    </rPh>
    <rPh sb="150" eb="151">
      <t>ガツ</t>
    </rPh>
    <rPh sb="152" eb="153">
      <t>ニチ</t>
    </rPh>
    <rPh sb="156" eb="157">
      <t>ガツ</t>
    </rPh>
    <rPh sb="159" eb="160">
      <t>ニチ</t>
    </rPh>
    <rPh sb="161" eb="162">
      <t>エ</t>
    </rPh>
    <rPh sb="163" eb="165">
      <t>シュウニュウ</t>
    </rPh>
    <rPh sb="166" eb="168">
      <t>ショトク</t>
    </rPh>
    <rPh sb="170" eb="172">
      <t>ガッサン</t>
    </rPh>
    <rPh sb="172" eb="173">
      <t>ガク</t>
    </rPh>
    <rPh sb="185" eb="187">
      <t>ゲツブン</t>
    </rPh>
    <rPh sb="188" eb="190">
      <t>テイシュツ</t>
    </rPh>
    <rPh sb="191" eb="193">
      <t>コンナン</t>
    </rPh>
    <rPh sb="194" eb="196">
      <t>バアイ</t>
    </rPh>
    <rPh sb="200" eb="201">
      <t>ガツ</t>
    </rPh>
    <rPh sb="204" eb="206">
      <t>ガツブン</t>
    </rPh>
    <rPh sb="207" eb="209">
      <t>シュウニュウ</t>
    </rPh>
    <rPh sb="210" eb="212">
      <t>ショトク</t>
    </rPh>
    <rPh sb="214" eb="216">
      <t>ガッサン</t>
    </rPh>
    <rPh sb="216" eb="217">
      <t>ガク</t>
    </rPh>
    <rPh sb="219" eb="220">
      <t>バイ</t>
    </rPh>
    <rPh sb="221" eb="223">
      <t>ニュウリョク</t>
    </rPh>
    <rPh sb="227" eb="228">
      <t>ガツ</t>
    </rPh>
    <rPh sb="231" eb="233">
      <t>ガツブン</t>
    </rPh>
    <rPh sb="247" eb="248">
      <t>カ</t>
    </rPh>
    <rPh sb="260" eb="262">
      <t>キュウヨ</t>
    </rPh>
    <rPh sb="265" eb="267">
      <t>ショトク</t>
    </rPh>
    <rPh sb="268" eb="270">
      <t>ジギョウ</t>
    </rPh>
    <rPh sb="270" eb="272">
      <t>ショトク</t>
    </rPh>
    <rPh sb="273" eb="276">
      <t>フドウサン</t>
    </rPh>
    <rPh sb="276" eb="278">
      <t>ショトク</t>
    </rPh>
    <rPh sb="279" eb="281">
      <t>ジョウト</t>
    </rPh>
    <rPh sb="281" eb="283">
      <t>ショトク</t>
    </rPh>
    <rPh sb="284" eb="286">
      <t>ハイトウ</t>
    </rPh>
    <rPh sb="286" eb="288">
      <t>ショトク</t>
    </rPh>
    <rPh sb="288" eb="289">
      <t>トウ</t>
    </rPh>
    <rPh sb="291" eb="293">
      <t>キュウヨ</t>
    </rPh>
    <rPh sb="293" eb="295">
      <t>シュウニュウ</t>
    </rPh>
    <rPh sb="295" eb="297">
      <t>キンガク</t>
    </rPh>
    <rPh sb="298" eb="299">
      <t>フク</t>
    </rPh>
    <rPh sb="313" eb="315">
      <t>コウテキ</t>
    </rPh>
    <rPh sb="315" eb="317">
      <t>ネンキン</t>
    </rPh>
    <rPh sb="317" eb="318">
      <t>トウ</t>
    </rPh>
    <rPh sb="320" eb="322">
      <t>ロウレイ</t>
    </rPh>
    <rPh sb="322" eb="324">
      <t>ネンキン</t>
    </rPh>
    <rPh sb="325" eb="326">
      <t>サ</t>
    </rPh>
    <rPh sb="330" eb="332">
      <t>イゾク</t>
    </rPh>
    <rPh sb="332" eb="334">
      <t>ネンキン</t>
    </rPh>
    <rPh sb="335" eb="337">
      <t>ショウガイ</t>
    </rPh>
    <rPh sb="337" eb="339">
      <t>ネンキン</t>
    </rPh>
    <rPh sb="343" eb="345">
      <t>セイド</t>
    </rPh>
    <rPh sb="346" eb="347">
      <t>フク</t>
    </rPh>
    <rPh sb="355" eb="357">
      <t>キュウヨ</t>
    </rPh>
    <rPh sb="358" eb="360">
      <t>ネンキン</t>
    </rPh>
    <rPh sb="360" eb="362">
      <t>イガイ</t>
    </rPh>
    <rPh sb="363" eb="365">
      <t>ショトク</t>
    </rPh>
    <rPh sb="369" eb="371">
      <t>ジギョウ</t>
    </rPh>
    <rPh sb="371" eb="373">
      <t>ショトク</t>
    </rPh>
    <rPh sb="374" eb="377">
      <t>フドウサン</t>
    </rPh>
    <rPh sb="377" eb="379">
      <t>ショトク</t>
    </rPh>
    <rPh sb="380" eb="382">
      <t>ジョウト</t>
    </rPh>
    <rPh sb="382" eb="384">
      <t>ショトク</t>
    </rPh>
    <rPh sb="385" eb="387">
      <t>ハイトウ</t>
    </rPh>
    <rPh sb="387" eb="389">
      <t>ショトク</t>
    </rPh>
    <rPh sb="389" eb="390">
      <t>トウ</t>
    </rPh>
    <rPh sb="391" eb="393">
      <t>ゴウケイ</t>
    </rPh>
    <rPh sb="393" eb="394">
      <t>ガク</t>
    </rPh>
    <rPh sb="395" eb="397">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</si>
</sst>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
    <numFmt numFmtId="177" formatCode="#,##0;[Red]#,##0"/>
    <numFmt numFmtId="178" formatCode="#,##0.00;[Red]#,##0.00"/>
    <numFmt numFmtId="179" formatCode="yyyy&quot;.&quot;mm"/>
    <numFmt numFmtId="180" formatCode="#,##0_ "/>
  </numFmts>
  <fonts count="45">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name val="ＭＳ 明朝"/>
      <family val="1"/>
      <charset val="128"/>
    </font>
    <font>
      <sz val="7"/>
      <name val="ＭＳ Ｐゴシック"/>
      <family val="3"/>
      <charset val="128"/>
    </font>
    <font>
      <sz val="11"/>
      <name val="ＭＳ 明朝"/>
      <family val="1"/>
      <charset val="128"/>
    </font>
    <font>
      <sz val="12"/>
      <color indexed="10"/>
      <name val="ＭＳ 明朝"/>
      <family val="1"/>
      <charset val="128"/>
    </font>
    <font>
      <b/>
      <i/>
      <sz val="14"/>
      <name val="ＭＳ 明朝"/>
      <family val="1"/>
      <charset val="128"/>
    </font>
    <font>
      <sz val="9"/>
      <color theme="1"/>
      <name val="ＭＳ Ｐゴシック"/>
      <family val="2"/>
      <scheme val="minor"/>
    </font>
    <font>
      <sz val="11"/>
      <name val="ＭＳ Ｐゴシック"/>
      <family val="2"/>
      <scheme val="minor"/>
    </font>
    <font>
      <sz val="11"/>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0"/>
      <name val="ＭＳ Ｐゴシック"/>
      <family val="3"/>
      <charset val="128"/>
      <scheme val="minor"/>
    </font>
    <font>
      <sz val="10"/>
      <name val="ＭＳ Ｐゴシック"/>
      <family val="2"/>
      <scheme val="minor"/>
    </font>
    <font>
      <sz val="8"/>
      <name val="ＭＳ Ｐゴシック"/>
      <family val="3"/>
      <charset val="128"/>
      <scheme val="minor"/>
    </font>
    <font>
      <sz val="5.5"/>
      <name val="ＭＳ Ｐゴシック"/>
      <family val="3"/>
      <charset val="128"/>
      <scheme val="minor"/>
    </font>
    <font>
      <sz val="6"/>
      <name val="ＭＳ Ｐゴシック"/>
      <family val="2"/>
      <scheme val="minor"/>
    </font>
    <font>
      <sz val="9"/>
      <name val="ＭＳ Ｐゴシック"/>
      <family val="2"/>
      <scheme val="minor"/>
    </font>
    <font>
      <b/>
      <sz val="11"/>
      <name val="ＭＳ Ｐゴシック"/>
      <family val="3"/>
      <charset val="128"/>
      <scheme val="minor"/>
    </font>
    <font>
      <sz val="8"/>
      <name val="ＭＳ Ｐゴシック"/>
      <family val="2"/>
      <scheme val="minor"/>
    </font>
    <font>
      <b/>
      <sz val="8"/>
      <name val="ＭＳ Ｐゴシック"/>
      <family val="3"/>
      <charset val="128"/>
      <scheme val="minor"/>
    </font>
    <font>
      <sz val="16"/>
      <name val="Kunstler Script"/>
      <family val="4"/>
    </font>
    <font>
      <sz val="11"/>
      <name val="Kunstler Script"/>
      <family val="4"/>
    </font>
    <font>
      <sz val="14"/>
      <name val="HGS行書体"/>
      <family val="4"/>
      <charset val="128"/>
    </font>
    <font>
      <sz val="11"/>
      <name val="HGS行書体"/>
      <family val="4"/>
      <charset val="128"/>
    </font>
    <font>
      <sz val="9"/>
      <name val="ＭＳ Ｐゴシック"/>
      <family val="3"/>
      <charset val="128"/>
      <scheme val="minor"/>
    </font>
    <font>
      <sz val="7"/>
      <color theme="1"/>
      <name val="ＭＳ Ｐゴシック"/>
      <family val="3"/>
      <charset val="128"/>
      <scheme val="minor"/>
    </font>
    <font>
      <sz val="11"/>
      <color rgb="FFFF0000"/>
      <name val="ＭＳ Ｐゴシック"/>
      <family val="3"/>
      <charset val="128"/>
      <scheme val="minor"/>
    </font>
    <font>
      <sz val="10"/>
      <color rgb="FFFF0000"/>
      <name val="ＭＳ Ｐゴシック"/>
      <family val="2"/>
      <scheme val="minor"/>
    </font>
    <font>
      <sz val="10"/>
      <color rgb="FFFF0000"/>
      <name val="ＭＳ Ｐゴシック"/>
      <family val="3"/>
      <charset val="128"/>
      <scheme val="minor"/>
    </font>
    <font>
      <sz val="7.5"/>
      <color theme="1"/>
      <name val="ＭＳ Ｐゴシック"/>
      <family val="2"/>
      <scheme val="minor"/>
    </font>
    <font>
      <sz val="7.5"/>
      <color theme="1"/>
      <name val="ＭＳ Ｐゴシック"/>
      <family val="3"/>
      <charset val="128"/>
      <scheme val="minor"/>
    </font>
    <font>
      <sz val="9.5"/>
      <name val="ＭＳ Ｐゴシック"/>
      <family val="3"/>
      <charset val="128"/>
      <scheme val="minor"/>
    </font>
    <font>
      <sz val="11"/>
      <color rgb="FFFF0000"/>
      <name val="ＭＳ Ｐゴシック"/>
      <family val="2"/>
      <scheme val="minor"/>
    </font>
    <font>
      <b/>
      <sz val="11"/>
      <color theme="1"/>
      <name val="ＤＦ特太ゴシック体"/>
      <family val="3"/>
      <charset val="128"/>
    </font>
    <font>
      <sz val="7.5"/>
      <name val="ＭＳ Ｐゴシック"/>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medium">
        <color indexed="64"/>
      </right>
      <top/>
      <bottom style="thin">
        <color indexed="64"/>
      </bottom>
      <diagonal/>
    </border>
    <border>
      <left/>
      <right/>
      <top/>
      <bottom style="double">
        <color indexed="64"/>
      </bottom>
      <diagonal/>
    </border>
    <border>
      <left style="dashDot">
        <color indexed="64"/>
      </left>
      <right/>
      <top style="dashDot">
        <color indexed="64"/>
      </top>
      <bottom style="double">
        <color indexed="64"/>
      </bottom>
      <diagonal/>
    </border>
    <border>
      <left/>
      <right/>
      <top style="dashDot">
        <color indexed="64"/>
      </top>
      <bottom style="double">
        <color indexed="64"/>
      </bottom>
      <diagonal/>
    </border>
    <border>
      <left/>
      <right style="dashDot">
        <color indexed="64"/>
      </right>
      <top style="dashDot">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medium">
        <color indexed="64"/>
      </left>
      <right style="double">
        <color indexed="64"/>
      </right>
      <top/>
      <bottom style="double">
        <color indexed="64"/>
      </bottom>
      <diagonal/>
    </border>
    <border>
      <left style="medium">
        <color indexed="64"/>
      </left>
      <right style="dashDot">
        <color indexed="64"/>
      </right>
      <top/>
      <bottom style="double">
        <color indexed="64"/>
      </bottom>
      <diagonal/>
    </border>
    <border>
      <left style="dashDot">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Dot">
        <color indexed="64"/>
      </left>
      <right/>
      <top/>
      <bottom style="double">
        <color indexed="64"/>
      </bottom>
      <diagonal/>
    </border>
    <border>
      <left/>
      <right style="dashDot">
        <color indexed="64"/>
      </right>
      <top/>
      <bottom style="double">
        <color indexed="64"/>
      </bottom>
      <diagonal/>
    </border>
    <border>
      <left style="medium">
        <color indexed="64"/>
      </left>
      <right style="double">
        <color indexed="64"/>
      </right>
      <top/>
      <bottom/>
      <diagonal/>
    </border>
    <border>
      <left style="thin">
        <color indexed="64"/>
      </left>
      <right style="dashDot">
        <color indexed="64"/>
      </right>
      <top style="thin">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ouble">
        <color indexed="64"/>
      </right>
      <top/>
      <bottom style="double">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top/>
      <bottom style="hair">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medium">
        <color indexed="64"/>
      </left>
      <right/>
      <top/>
      <bottom/>
      <diagonal/>
    </border>
    <border>
      <left style="thin">
        <color indexed="64"/>
      </left>
      <right/>
      <top/>
      <bottom style="double">
        <color indexed="64"/>
      </bottom>
      <diagonal/>
    </border>
    <border>
      <left style="medium">
        <color indexed="64"/>
      </left>
      <right style="thin">
        <color indexed="64"/>
      </right>
      <top/>
      <bottom/>
      <diagonal/>
    </border>
    <border>
      <left style="dashDot">
        <color indexed="64"/>
      </left>
      <right/>
      <top style="double">
        <color indexed="64"/>
      </top>
      <bottom style="thin">
        <color indexed="64"/>
      </bottom>
      <diagonal/>
    </border>
    <border>
      <left/>
      <right style="dashDot">
        <color indexed="64"/>
      </right>
      <top style="thin">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top style="double">
        <color indexed="64"/>
      </top>
      <bottom style="thin">
        <color indexed="64"/>
      </bottom>
      <diagonal/>
    </border>
    <border>
      <left style="dashDot">
        <color indexed="64"/>
      </left>
      <right/>
      <top style="thin">
        <color indexed="64"/>
      </top>
      <bottom style="thin">
        <color indexed="64"/>
      </bottom>
      <diagonal/>
    </border>
    <border>
      <left/>
      <right style="dashDot">
        <color indexed="64"/>
      </right>
      <top style="thin">
        <color indexed="64"/>
      </top>
      <bottom style="thin">
        <color indexed="64"/>
      </bottom>
      <diagonal/>
    </border>
    <border>
      <left style="dashDot">
        <color indexed="64"/>
      </left>
      <right/>
      <top/>
      <bottom style="thin">
        <color indexed="64"/>
      </bottom>
      <diagonal/>
    </border>
    <border>
      <left style="thin">
        <color indexed="64"/>
      </left>
      <right style="dashDot">
        <color indexed="64"/>
      </right>
      <top/>
      <bottom style="double">
        <color indexed="64"/>
      </bottom>
      <diagonal/>
    </border>
    <border>
      <left style="dashDot">
        <color indexed="64"/>
      </left>
      <right style="medium">
        <color indexed="64"/>
      </right>
      <top style="thin">
        <color indexed="64"/>
      </top>
      <bottom style="thin">
        <color indexed="64"/>
      </bottom>
      <diagonal/>
    </border>
    <border>
      <left style="dashDot">
        <color indexed="64"/>
      </left>
      <right/>
      <top style="thin">
        <color indexed="64"/>
      </top>
      <bottom style="double">
        <color indexed="64"/>
      </bottom>
      <diagonal/>
    </border>
    <border>
      <left/>
      <right style="dashDot">
        <color indexed="64"/>
      </right>
      <top style="thin">
        <color indexed="64"/>
      </top>
      <bottom style="double">
        <color indexed="64"/>
      </bottom>
      <diagonal/>
    </border>
    <border>
      <left style="dashDot">
        <color indexed="64"/>
      </left>
      <right style="medium">
        <color indexed="64"/>
      </right>
      <top style="thin">
        <color indexed="64"/>
      </top>
      <bottom style="double">
        <color indexed="64"/>
      </bottom>
      <diagonal/>
    </border>
    <border>
      <left style="dashDot">
        <color indexed="64"/>
      </left>
      <right style="medium">
        <color indexed="64"/>
      </right>
      <top/>
      <bottom/>
      <diagonal/>
    </border>
    <border>
      <left/>
      <right/>
      <top style="dashDot">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double">
        <color indexed="64"/>
      </right>
      <top/>
      <bottom/>
      <diagonal/>
    </border>
    <border diagonalDown="1">
      <left/>
      <right style="thin">
        <color indexed="64"/>
      </right>
      <top style="thin">
        <color indexed="64"/>
      </top>
      <bottom style="hair">
        <color indexed="64"/>
      </bottom>
      <diagonal style="hair">
        <color indexed="64"/>
      </diagonal>
    </border>
    <border diagonalDown="1">
      <left/>
      <right style="thin">
        <color indexed="64"/>
      </right>
      <top style="hair">
        <color indexed="64"/>
      </top>
      <bottom style="thin">
        <color indexed="64"/>
      </bottom>
      <diagonal style="hair">
        <color indexed="64"/>
      </diagonal>
    </border>
    <border>
      <left/>
      <right/>
      <top style="medium">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medium">
        <color indexed="64"/>
      </right>
      <top/>
      <bottom/>
      <diagonal/>
    </border>
    <border>
      <left/>
      <right style="medium">
        <color indexed="64"/>
      </right>
      <top/>
      <bottom style="hair">
        <color indexed="64"/>
      </bottom>
      <diagonal/>
    </border>
  </borders>
  <cellStyleXfs count="1">
    <xf numFmtId="0" fontId="0" fillId="0" borderId="0"/>
  </cellStyleXfs>
  <cellXfs count="614">
    <xf numFmtId="0" fontId="0" fillId="0" borderId="0" xfId="0"/>
    <xf numFmtId="0" fontId="3" fillId="0" borderId="0" xfId="0" applyFont="1" applyProtection="1"/>
    <xf numFmtId="0" fontId="3" fillId="0" borderId="0" xfId="0" applyNumberFormat="1" applyFont="1" applyProtection="1"/>
    <xf numFmtId="0" fontId="3" fillId="0" borderId="0" xfId="0" applyFont="1"/>
    <xf numFmtId="0" fontId="3" fillId="0" borderId="0" xfId="0" applyFont="1" applyAlignment="1" applyProtection="1">
      <alignment horizontal="left"/>
    </xf>
    <xf numFmtId="0" fontId="5" fillId="0" borderId="0" xfId="0" applyFont="1" applyProtection="1"/>
    <xf numFmtId="0" fontId="5" fillId="0" borderId="0" xfId="0" applyFont="1"/>
    <xf numFmtId="0" fontId="7" fillId="0" borderId="2" xfId="0" applyFont="1" applyBorder="1" applyProtection="1">
      <protection locked="0"/>
    </xf>
    <xf numFmtId="0" fontId="3" fillId="0" borderId="3" xfId="0" applyFont="1" applyBorder="1" applyProtection="1"/>
    <xf numFmtId="0" fontId="0" fillId="0" borderId="3" xfId="0" applyBorder="1" applyProtection="1"/>
    <xf numFmtId="31" fontId="3" fillId="0" borderId="3" xfId="0" applyNumberFormat="1" applyFont="1" applyBorder="1" applyAlignment="1" applyProtection="1">
      <alignment horizontal="centerContinuous"/>
      <protection locked="0"/>
    </xf>
    <xf numFmtId="0" fontId="3" fillId="0" borderId="4" xfId="0" applyFont="1" applyBorder="1" applyAlignment="1" applyProtection="1">
      <alignment horizontal="centerContinuous"/>
      <protection locked="0"/>
    </xf>
    <xf numFmtId="0" fontId="3" fillId="0" borderId="5" xfId="0" applyFont="1" applyBorder="1" applyProtection="1"/>
    <xf numFmtId="0" fontId="3" fillId="0" borderId="0" xfId="0" applyNumberFormat="1" applyFont="1" applyBorder="1" applyProtection="1"/>
    <xf numFmtId="0" fontId="3" fillId="0" borderId="0" xfId="0" applyFont="1" applyBorder="1" applyProtection="1"/>
    <xf numFmtId="0" fontId="5" fillId="0" borderId="0" xfId="0" applyFont="1" applyBorder="1" applyAlignment="1" applyProtection="1">
      <alignment horizontal="centerContinuous"/>
    </xf>
    <xf numFmtId="0" fontId="3" fillId="0" borderId="6" xfId="0" applyFont="1" applyBorder="1" applyAlignment="1" applyProtection="1">
      <alignment horizontal="centerContinuous"/>
    </xf>
    <xf numFmtId="0" fontId="3" fillId="0" borderId="6" xfId="0" applyFont="1" applyBorder="1" applyProtection="1"/>
    <xf numFmtId="0" fontId="3" fillId="0" borderId="6" xfId="0" applyNumberFormat="1" applyFont="1" applyBorder="1" applyProtection="1"/>
    <xf numFmtId="0" fontId="3" fillId="0" borderId="0" xfId="0" applyNumberFormat="1" applyFont="1" applyBorder="1" applyAlignment="1" applyProtection="1">
      <alignment horizontal="right"/>
    </xf>
    <xf numFmtId="0" fontId="3" fillId="0" borderId="0" xfId="0" applyNumberFormat="1" applyFont="1" applyBorder="1" applyAlignment="1" applyProtection="1">
      <alignment horizontal="center"/>
    </xf>
    <xf numFmtId="0" fontId="3" fillId="0" borderId="0" xfId="0" applyNumberFormat="1" applyFont="1" applyBorder="1" applyAlignment="1" applyProtection="1">
      <alignment horizontal="left"/>
      <protection locked="0"/>
    </xf>
    <xf numFmtId="0" fontId="3" fillId="0" borderId="6" xfId="0" applyNumberFormat="1" applyFont="1" applyFill="1" applyBorder="1" applyAlignment="1" applyProtection="1">
      <alignment horizontal="right"/>
    </xf>
    <xf numFmtId="0" fontId="3" fillId="0" borderId="0" xfId="0" applyFont="1" applyFill="1" applyBorder="1" applyAlignment="1" applyProtection="1">
      <alignment vertical="top"/>
      <protection locked="0"/>
    </xf>
    <xf numFmtId="0" fontId="3" fillId="0" borderId="0" xfId="0" applyNumberFormat="1" applyFont="1" applyFill="1" applyBorder="1" applyAlignment="1" applyProtection="1">
      <alignment horizontal="center"/>
    </xf>
    <xf numFmtId="0" fontId="3" fillId="0" borderId="0" xfId="0" applyNumberFormat="1" applyFont="1" applyFill="1" applyBorder="1" applyProtection="1"/>
    <xf numFmtId="49" fontId="3" fillId="0" borderId="0" xfId="0" applyNumberFormat="1" applyFont="1" applyFill="1" applyBorder="1" applyAlignment="1" applyProtection="1">
      <alignment vertical="top"/>
      <protection locked="0"/>
    </xf>
    <xf numFmtId="0" fontId="3" fillId="0" borderId="6" xfId="0" applyNumberFormat="1" applyFont="1" applyFill="1" applyBorder="1" applyAlignment="1" applyProtection="1">
      <alignment horizontal="left"/>
    </xf>
    <xf numFmtId="49" fontId="3" fillId="0" borderId="0" xfId="0" applyNumberFormat="1" applyFont="1" applyFill="1" applyBorder="1" applyAlignment="1" applyProtection="1">
      <alignment horizontal="left"/>
      <protection locked="0"/>
    </xf>
    <xf numFmtId="0" fontId="3" fillId="0" borderId="6" xfId="0" applyFont="1" applyFill="1" applyBorder="1" applyAlignment="1" applyProtection="1">
      <alignment horizontal="left"/>
    </xf>
    <xf numFmtId="0" fontId="3" fillId="0" borderId="6" xfId="0" applyNumberFormat="1" applyFont="1" applyFill="1" applyBorder="1" applyProtection="1"/>
    <xf numFmtId="0" fontId="5" fillId="0" borderId="0" xfId="0" applyNumberFormat="1" applyFont="1" applyBorder="1" applyProtection="1"/>
    <xf numFmtId="0" fontId="6" fillId="0" borderId="0" xfId="0" applyNumberFormat="1" applyFont="1" applyBorder="1" applyProtection="1"/>
    <xf numFmtId="0" fontId="3" fillId="0" borderId="0" xfId="0" applyNumberFormat="1" applyFont="1" applyBorder="1" applyAlignment="1" applyProtection="1">
      <alignment horizontal="left"/>
    </xf>
    <xf numFmtId="58" fontId="3" fillId="0" borderId="0" xfId="0" applyNumberFormat="1" applyFont="1" applyBorder="1" applyAlignment="1" applyProtection="1">
      <alignment horizontal="center"/>
    </xf>
    <xf numFmtId="58" fontId="3" fillId="0" borderId="0" xfId="0" applyNumberFormat="1" applyFont="1" applyBorder="1" applyAlignment="1" applyProtection="1">
      <alignment horizontal="left"/>
    </xf>
    <xf numFmtId="0" fontId="3" fillId="0" borderId="6" xfId="0" applyFont="1" applyBorder="1" applyAlignment="1" applyProtection="1">
      <alignment horizontal="right"/>
    </xf>
    <xf numFmtId="176" fontId="3" fillId="0" borderId="0" xfId="0" applyNumberFormat="1" applyFont="1" applyBorder="1" applyProtection="1"/>
    <xf numFmtId="0" fontId="3" fillId="0" borderId="0" xfId="0" applyFont="1" applyBorder="1" applyAlignment="1" applyProtection="1">
      <alignment horizontal="center"/>
    </xf>
    <xf numFmtId="0" fontId="3" fillId="0" borderId="7" xfId="0" applyFont="1" applyBorder="1" applyProtection="1"/>
    <xf numFmtId="49" fontId="6" fillId="0" borderId="8" xfId="0" applyNumberFormat="1" applyFont="1" applyBorder="1" applyAlignment="1" applyProtection="1">
      <alignment horizontal="center"/>
    </xf>
    <xf numFmtId="49" fontId="6" fillId="0" borderId="8" xfId="0" applyNumberFormat="1" applyFont="1" applyBorder="1" applyProtection="1"/>
    <xf numFmtId="0" fontId="3" fillId="0" borderId="8" xfId="0" applyNumberFormat="1" applyFont="1" applyBorder="1" applyProtection="1"/>
    <xf numFmtId="0" fontId="3" fillId="0" borderId="8" xfId="0" applyFont="1" applyBorder="1" applyProtection="1">
      <protection locked="0"/>
    </xf>
    <xf numFmtId="0" fontId="3" fillId="0" borderId="8" xfId="0" applyFont="1" applyBorder="1" applyAlignment="1" applyProtection="1">
      <alignment horizontal="center"/>
    </xf>
    <xf numFmtId="0" fontId="3" fillId="0" borderId="8" xfId="0" applyFont="1" applyBorder="1" applyProtection="1"/>
    <xf numFmtId="0" fontId="3" fillId="0" borderId="9" xfId="0" applyNumberFormat="1" applyFont="1" applyBorder="1" applyProtection="1"/>
    <xf numFmtId="49" fontId="3" fillId="0" borderId="0" xfId="0" applyNumberFormat="1" applyFont="1"/>
    <xf numFmtId="49" fontId="3" fillId="0" borderId="0" xfId="0" applyNumberFormat="1" applyFont="1" applyAlignment="1">
      <alignment horizontal="right"/>
    </xf>
    <xf numFmtId="0" fontId="9" fillId="0" borderId="1" xfId="0" applyFont="1" applyBorder="1"/>
    <xf numFmtId="0" fontId="0" fillId="0" borderId="1" xfId="0" applyBorder="1"/>
    <xf numFmtId="0" fontId="10" fillId="0" borderId="1" xfId="0" applyFont="1" applyBorder="1"/>
    <xf numFmtId="0" fontId="0" fillId="0" borderId="1" xfId="0" quotePrefix="1" applyBorder="1"/>
    <xf numFmtId="0" fontId="10" fillId="0" borderId="1" xfId="0" applyFont="1" applyBorder="1" applyAlignment="1">
      <alignment vertical="center" wrapText="1"/>
    </xf>
    <xf numFmtId="0" fontId="0" fillId="0" borderId="1" xfId="0" applyFill="1" applyBorder="1"/>
    <xf numFmtId="0" fontId="10" fillId="0" borderId="0" xfId="0" applyFont="1"/>
    <xf numFmtId="0" fontId="0" fillId="0" borderId="0" xfId="0" applyFill="1" applyBorder="1"/>
    <xf numFmtId="0" fontId="0" fillId="0" borderId="0" xfId="0" applyBorder="1"/>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vertical="center" shrinkToFit="1"/>
    </xf>
    <xf numFmtId="0" fontId="0" fillId="0" borderId="14" xfId="0" applyBorder="1" applyAlignment="1">
      <alignment vertical="center"/>
    </xf>
    <xf numFmtId="0" fontId="0" fillId="0" borderId="14" xfId="0" applyBorder="1" applyAlignment="1">
      <alignment vertical="center" shrinkToFit="1"/>
    </xf>
    <xf numFmtId="0" fontId="0" fillId="0" borderId="14" xfId="0" applyBorder="1" applyAlignment="1">
      <alignment horizontal="left" vertical="center" shrinkToFit="1"/>
    </xf>
    <xf numFmtId="0" fontId="0" fillId="0" borderId="16"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applyAlignment="1">
      <alignment vertical="center"/>
    </xf>
    <xf numFmtId="0" fontId="12" fillId="0" borderId="1" xfId="0" applyFont="1" applyBorder="1" applyProtection="1"/>
    <xf numFmtId="0" fontId="12" fillId="0" borderId="1" xfId="0" applyFont="1" applyBorder="1"/>
    <xf numFmtId="49" fontId="12" fillId="0" borderId="1" xfId="0" applyNumberFormat="1" applyFont="1" applyBorder="1" applyAlignment="1">
      <alignment horizontal="right"/>
    </xf>
    <xf numFmtId="0" fontId="0" fillId="0" borderId="10" xfId="0" applyBorder="1" applyAlignment="1">
      <alignment horizontal="center" vertical="center" shrinkToFit="1"/>
    </xf>
    <xf numFmtId="0" fontId="0" fillId="0" borderId="0" xfId="0" applyAlignment="1">
      <alignment horizontal="center"/>
    </xf>
    <xf numFmtId="0" fontId="0" fillId="2" borderId="0" xfId="0" applyFill="1" applyBorder="1" applyAlignment="1">
      <alignment vertical="center"/>
    </xf>
    <xf numFmtId="0" fontId="0" fillId="2" borderId="14" xfId="0" applyFill="1" applyBorder="1" applyAlignment="1">
      <alignment vertical="center"/>
    </xf>
    <xf numFmtId="0" fontId="0" fillId="0" borderId="12" xfId="0" applyBorder="1"/>
    <xf numFmtId="0" fontId="0" fillId="0" borderId="20" xfId="0" applyBorder="1" applyAlignment="1">
      <alignment vertical="center"/>
    </xf>
    <xf numFmtId="0" fontId="0" fillId="0" borderId="21" xfId="0" applyBorder="1" applyAlignment="1">
      <alignment vertical="center"/>
    </xf>
    <xf numFmtId="0" fontId="0" fillId="0" borderId="20" xfId="0" applyBorder="1"/>
    <xf numFmtId="0" fontId="0" fillId="0" borderId="29" xfId="0" applyBorder="1" applyAlignment="1">
      <alignment vertical="center"/>
    </xf>
    <xf numFmtId="0" fontId="0" fillId="0" borderId="28" xfId="0" applyBorder="1" applyAlignment="1">
      <alignment vertical="center"/>
    </xf>
    <xf numFmtId="0" fontId="11" fillId="2" borderId="30" xfId="0" applyFont="1" applyFill="1"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1" fillId="2" borderId="31" xfId="0" applyFont="1" applyFill="1" applyBorder="1" applyAlignment="1">
      <alignment vertical="center"/>
    </xf>
    <xf numFmtId="0" fontId="0" fillId="0" borderId="0" xfId="0" applyAlignment="1">
      <alignment horizontal="left"/>
    </xf>
    <xf numFmtId="0" fontId="0" fillId="0" borderId="41" xfId="0" applyBorder="1"/>
    <xf numFmtId="0" fontId="0" fillId="0" borderId="42" xfId="0" applyFill="1" applyBorder="1"/>
    <xf numFmtId="0" fontId="8" fillId="0" borderId="10" xfId="0" applyFont="1" applyBorder="1" applyAlignment="1">
      <alignment horizontal="center" vertical="center" shrinkToFit="1"/>
    </xf>
    <xf numFmtId="0" fontId="8" fillId="0" borderId="0" xfId="0" applyFont="1"/>
    <xf numFmtId="0" fontId="0" fillId="0" borderId="0" xfId="0" applyFont="1"/>
    <xf numFmtId="0" fontId="14" fillId="0" borderId="0" xfId="0" applyFont="1"/>
    <xf numFmtId="0" fontId="15" fillId="0" borderId="0" xfId="0" applyFont="1"/>
    <xf numFmtId="0" fontId="16" fillId="0" borderId="0" xfId="0" applyFont="1"/>
    <xf numFmtId="0" fontId="0" fillId="2" borderId="0" xfId="0" applyFill="1" applyAlignment="1">
      <alignment vertical="center"/>
    </xf>
    <xf numFmtId="0" fontId="0" fillId="2" borderId="24" xfId="0" applyFill="1"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11" xfId="0" applyFill="1" applyBorder="1" applyAlignment="1">
      <alignment vertical="center" shrinkToFit="1"/>
    </xf>
    <xf numFmtId="0" fontId="0" fillId="2" borderId="25" xfId="0" applyFill="1" applyBorder="1" applyAlignment="1">
      <alignment vertical="center"/>
    </xf>
    <xf numFmtId="0" fontId="0" fillId="0" borderId="43" xfId="0" applyBorder="1" applyAlignment="1">
      <alignment vertical="center"/>
    </xf>
    <xf numFmtId="0" fontId="0" fillId="0" borderId="2" xfId="0" applyBorder="1" applyAlignment="1">
      <alignment vertical="center" shrinkToFit="1"/>
    </xf>
    <xf numFmtId="0" fontId="0" fillId="0" borderId="2" xfId="0" applyBorder="1" applyAlignment="1">
      <alignment vertical="center"/>
    </xf>
    <xf numFmtId="178" fontId="0" fillId="0" borderId="10" xfId="0" applyNumberFormat="1" applyBorder="1" applyAlignment="1">
      <alignment vertical="center"/>
    </xf>
    <xf numFmtId="0" fontId="0" fillId="0" borderId="38"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2" borderId="15" xfId="0" applyFill="1" applyBorder="1" applyAlignment="1">
      <alignment vertical="center"/>
    </xf>
    <xf numFmtId="0" fontId="0" fillId="0" borderId="15" xfId="0" applyBorder="1" applyAlignment="1">
      <alignment vertical="center"/>
    </xf>
    <xf numFmtId="0" fontId="0" fillId="2" borderId="0" xfId="0" applyFill="1" applyBorder="1" applyAlignment="1">
      <alignment horizontal="center" vertical="center"/>
    </xf>
    <xf numFmtId="0" fontId="0" fillId="0" borderId="27" xfId="0" applyBorder="1" applyAlignment="1">
      <alignment vertical="center"/>
    </xf>
    <xf numFmtId="0" fontId="0" fillId="2" borderId="20" xfId="0" applyFill="1" applyBorder="1" applyAlignment="1">
      <alignment vertical="center"/>
    </xf>
    <xf numFmtId="0" fontId="0" fillId="2" borderId="28" xfId="0"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2" borderId="35" xfId="0" applyFill="1" applyBorder="1" applyAlignment="1">
      <alignment vertical="center"/>
    </xf>
    <xf numFmtId="0" fontId="0" fillId="2" borderId="33" xfId="0" applyFill="1" applyBorder="1" applyAlignment="1">
      <alignment vertical="center"/>
    </xf>
    <xf numFmtId="0" fontId="0" fillId="0" borderId="37" xfId="0" applyBorder="1" applyAlignment="1">
      <alignment vertical="center"/>
    </xf>
    <xf numFmtId="0" fontId="0" fillId="0" borderId="29" xfId="0" applyBorder="1" applyAlignment="1">
      <alignment vertical="center" shrinkToFit="1"/>
    </xf>
    <xf numFmtId="0" fontId="0" fillId="0" borderId="22" xfId="0" applyBorder="1" applyAlignment="1">
      <alignment horizontal="center" vertical="center" shrinkToFit="1"/>
    </xf>
    <xf numFmtId="0" fontId="11" fillId="2" borderId="0" xfId="0" applyFont="1" applyFill="1" applyBorder="1" applyAlignment="1">
      <alignment horizontal="center" vertical="center" shrinkToFit="1"/>
    </xf>
    <xf numFmtId="0" fontId="0" fillId="2" borderId="45" xfId="0" applyFill="1" applyBorder="1" applyAlignment="1">
      <alignment vertical="center"/>
    </xf>
    <xf numFmtId="0" fontId="8" fillId="0" borderId="46" xfId="0" applyFont="1" applyBorder="1" applyAlignment="1">
      <alignment horizontal="center" vertical="center"/>
    </xf>
    <xf numFmtId="0" fontId="15" fillId="0" borderId="47" xfId="0" applyFont="1" applyBorder="1"/>
    <xf numFmtId="0" fontId="16" fillId="0" borderId="48" xfId="0" applyFont="1" applyBorder="1"/>
    <xf numFmtId="177" fontId="16" fillId="0" borderId="48" xfId="0" applyNumberFormat="1" applyFont="1" applyBorder="1" applyAlignment="1">
      <alignment horizontal="right"/>
    </xf>
    <xf numFmtId="0" fontId="16" fillId="0" borderId="51" xfId="0" applyFont="1" applyBorder="1"/>
    <xf numFmtId="0" fontId="16" fillId="0" borderId="7" xfId="0" applyFont="1" applyBorder="1" applyAlignment="1">
      <alignment vertical="center"/>
    </xf>
    <xf numFmtId="0" fontId="16" fillId="0" borderId="8" xfId="0" applyFont="1" applyBorder="1" applyAlignment="1">
      <alignment vertical="center"/>
    </xf>
    <xf numFmtId="177" fontId="16" fillId="0" borderId="8" xfId="0" applyNumberFormat="1" applyFont="1" applyBorder="1" applyAlignment="1">
      <alignment horizontal="right" vertical="center"/>
    </xf>
    <xf numFmtId="0" fontId="16" fillId="0" borderId="50" xfId="0" applyFont="1" applyBorder="1"/>
    <xf numFmtId="0" fontId="16" fillId="0" borderId="8" xfId="0" applyFont="1" applyBorder="1"/>
    <xf numFmtId="0" fontId="16" fillId="0" borderId="9" xfId="0" applyFont="1" applyBorder="1"/>
    <xf numFmtId="0" fontId="0" fillId="0" borderId="55" xfId="0" applyBorder="1"/>
    <xf numFmtId="0" fontId="15" fillId="0" borderId="20" xfId="0" applyFont="1" applyBorder="1" applyAlignment="1">
      <alignment vertical="top"/>
    </xf>
    <xf numFmtId="0" fontId="0" fillId="0" borderId="20"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7" xfId="0" applyBorder="1" applyAlignment="1">
      <alignment vertical="top"/>
    </xf>
    <xf numFmtId="0" fontId="0" fillId="0" borderId="15" xfId="0" applyBorder="1" applyAlignment="1">
      <alignment vertical="top"/>
    </xf>
    <xf numFmtId="0" fontId="0" fillId="0" borderId="0" xfId="0" applyAlignment="1">
      <alignment vertical="top"/>
    </xf>
    <xf numFmtId="0" fontId="0" fillId="0" borderId="2" xfId="0" applyFill="1" applyBorder="1" applyAlignment="1">
      <alignment vertical="center"/>
    </xf>
    <xf numFmtId="0" fontId="0" fillId="0" borderId="11" xfId="0" applyFill="1" applyBorder="1" applyAlignment="1">
      <alignment vertical="center"/>
    </xf>
    <xf numFmtId="0" fontId="16" fillId="0" borderId="0" xfId="0" applyFont="1" applyFill="1"/>
    <xf numFmtId="0" fontId="0" fillId="0" borderId="0" xfId="0" applyFill="1"/>
    <xf numFmtId="0" fontId="16" fillId="0" borderId="47" xfId="0" applyFont="1" applyFill="1" applyBorder="1" applyAlignment="1">
      <alignment vertical="center"/>
    </xf>
    <xf numFmtId="0" fontId="16" fillId="0" borderId="48" xfId="0" applyFont="1" applyFill="1" applyBorder="1" applyAlignment="1">
      <alignment vertical="center"/>
    </xf>
    <xf numFmtId="177" fontId="16" fillId="0" borderId="48" xfId="0" applyNumberFormat="1" applyFont="1" applyFill="1" applyBorder="1" applyAlignment="1">
      <alignment horizontal="right" vertical="center"/>
    </xf>
    <xf numFmtId="0" fontId="16" fillId="0" borderId="51" xfId="0" applyFont="1" applyFill="1" applyBorder="1"/>
    <xf numFmtId="0" fontId="16" fillId="0" borderId="48" xfId="0" applyFont="1" applyFill="1" applyBorder="1"/>
    <xf numFmtId="0" fontId="16" fillId="0" borderId="49" xfId="0" applyFont="1" applyFill="1" applyBorder="1"/>
    <xf numFmtId="0" fontId="16" fillId="0" borderId="7" xfId="0" applyFont="1" applyFill="1" applyBorder="1" applyAlignment="1">
      <alignment vertical="center"/>
    </xf>
    <xf numFmtId="0" fontId="16" fillId="0" borderId="8" xfId="0" applyFont="1" applyFill="1" applyBorder="1" applyAlignment="1">
      <alignment vertical="center"/>
    </xf>
    <xf numFmtId="177" fontId="16" fillId="0" borderId="8" xfId="0" applyNumberFormat="1" applyFont="1" applyFill="1" applyBorder="1" applyAlignment="1">
      <alignment horizontal="right" vertical="center"/>
    </xf>
    <xf numFmtId="0" fontId="16" fillId="0" borderId="50" xfId="0" applyFont="1" applyFill="1" applyBorder="1"/>
    <xf numFmtId="0" fontId="16" fillId="0" borderId="8" xfId="0" applyFont="1" applyFill="1" applyBorder="1"/>
    <xf numFmtId="0" fontId="16" fillId="0" borderId="9" xfId="0" applyFont="1" applyFill="1" applyBorder="1"/>
    <xf numFmtId="0" fontId="0" fillId="0" borderId="0" xfId="0" applyAlignment="1">
      <alignment horizontal="center"/>
    </xf>
    <xf numFmtId="0" fontId="0" fillId="0" borderId="0" xfId="0"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0" fontId="16" fillId="2" borderId="0" xfId="0" applyFont="1" applyFill="1" applyBorder="1" applyAlignment="1">
      <alignment horizontal="right" vertical="center"/>
    </xf>
    <xf numFmtId="0" fontId="16" fillId="0" borderId="20" xfId="0" applyFont="1" applyBorder="1" applyAlignment="1">
      <alignment horizontal="right" vertical="top"/>
    </xf>
    <xf numFmtId="0" fontId="16" fillId="0" borderId="20" xfId="0" applyFont="1" applyBorder="1" applyAlignment="1">
      <alignment horizontal="right" vertical="center"/>
    </xf>
    <xf numFmtId="0" fontId="18" fillId="2" borderId="40" xfId="0" quotePrefix="1" applyFont="1" applyFill="1" applyBorder="1" applyAlignment="1">
      <alignment horizontal="right" vertical="center"/>
    </xf>
    <xf numFmtId="0" fontId="17" fillId="2" borderId="40" xfId="0" quotePrefix="1" applyFont="1" applyFill="1" applyBorder="1" applyAlignment="1">
      <alignment horizontal="right" vertical="center"/>
    </xf>
    <xf numFmtId="0" fontId="17" fillId="2" borderId="39" xfId="0" quotePrefix="1" applyFont="1" applyFill="1" applyBorder="1" applyAlignment="1">
      <alignment horizontal="right" vertical="center"/>
    </xf>
    <xf numFmtId="0" fontId="18" fillId="2" borderId="31" xfId="0" quotePrefix="1" applyFont="1" applyFill="1" applyBorder="1" applyAlignment="1">
      <alignment horizontal="right" vertical="center"/>
    </xf>
    <xf numFmtId="0" fontId="17" fillId="2" borderId="31" xfId="0" quotePrefix="1" applyFont="1" applyFill="1" applyBorder="1" applyAlignment="1">
      <alignment horizontal="right" vertical="center"/>
    </xf>
    <xf numFmtId="0" fontId="17" fillId="2" borderId="32" xfId="0" quotePrefix="1" applyFont="1" applyFill="1" applyBorder="1" applyAlignment="1">
      <alignment horizontal="right" vertical="center"/>
    </xf>
    <xf numFmtId="0" fontId="18" fillId="2" borderId="0" xfId="0" quotePrefix="1" applyFont="1" applyFill="1" applyBorder="1" applyAlignment="1">
      <alignment horizontal="right" vertical="center"/>
    </xf>
    <xf numFmtId="0" fontId="17" fillId="2" borderId="0" xfId="0" applyFont="1" applyFill="1" applyBorder="1" applyAlignment="1">
      <alignment horizontal="right" vertical="center"/>
    </xf>
    <xf numFmtId="0" fontId="17" fillId="2" borderId="0" xfId="0" quotePrefix="1" applyFont="1" applyFill="1" applyBorder="1" applyAlignment="1">
      <alignment horizontal="right" vertical="center"/>
    </xf>
    <xf numFmtId="0" fontId="17" fillId="2" borderId="20" xfId="0" applyFont="1" applyFill="1" applyBorder="1" applyAlignment="1">
      <alignment horizontal="right" vertical="center"/>
    </xf>
    <xf numFmtId="0" fontId="17" fillId="2" borderId="33" xfId="0" quotePrefix="1" applyFont="1" applyFill="1" applyBorder="1" applyAlignment="1">
      <alignment horizontal="right" vertical="center"/>
    </xf>
    <xf numFmtId="0" fontId="17" fillId="2" borderId="20" xfId="0" quotePrefix="1" applyFont="1" applyFill="1" applyBorder="1" applyAlignment="1">
      <alignment horizontal="right" vertical="center"/>
    </xf>
    <xf numFmtId="0" fontId="19" fillId="0" borderId="0" xfId="0" applyFont="1"/>
    <xf numFmtId="0" fontId="0" fillId="0" borderId="6" xfId="0" applyBorder="1"/>
    <xf numFmtId="0" fontId="0" fillId="0" borderId="6" xfId="0" applyBorder="1" applyAlignment="1">
      <alignment vertical="center"/>
    </xf>
    <xf numFmtId="0" fontId="0" fillId="0" borderId="6" xfId="0" applyBorder="1" applyAlignment="1">
      <alignment vertical="top"/>
    </xf>
    <xf numFmtId="0" fontId="22" fillId="0" borderId="0" xfId="0" applyFont="1"/>
    <xf numFmtId="0" fontId="0" fillId="0" borderId="0" xfId="0" applyBorder="1" applyAlignment="1">
      <alignment horizontal="right"/>
    </xf>
    <xf numFmtId="0" fontId="9" fillId="0" borderId="41" xfId="0" applyFont="1" applyBorder="1"/>
    <xf numFmtId="0" fontId="0" fillId="2" borderId="56" xfId="0" applyFill="1" applyBorder="1" applyAlignment="1">
      <alignment vertical="center"/>
    </xf>
    <xf numFmtId="0" fontId="0" fillId="2" borderId="32" xfId="0" applyFill="1" applyBorder="1" applyAlignment="1">
      <alignment vertical="center"/>
    </xf>
    <xf numFmtId="0" fontId="15" fillId="2" borderId="31" xfId="0" applyFont="1" applyFill="1" applyBorder="1" applyAlignment="1">
      <alignment vertical="center"/>
    </xf>
    <xf numFmtId="0" fontId="8" fillId="0" borderId="57" xfId="0" applyFont="1" applyFill="1" applyBorder="1" applyAlignment="1">
      <alignment vertical="center"/>
    </xf>
    <xf numFmtId="0" fontId="18" fillId="0" borderId="1" xfId="0" applyFont="1" applyFill="1" applyBorder="1" applyAlignment="1">
      <alignment vertical="center"/>
    </xf>
    <xf numFmtId="0" fontId="17" fillId="0" borderId="1" xfId="0" applyFont="1" applyFill="1" applyBorder="1" applyAlignment="1">
      <alignment vertical="center"/>
    </xf>
    <xf numFmtId="0" fontId="8" fillId="0" borderId="58" xfId="0" applyFont="1" applyFill="1" applyBorder="1" applyAlignment="1">
      <alignment horizontal="center" vertical="center"/>
    </xf>
    <xf numFmtId="0" fontId="16" fillId="0" borderId="0" xfId="0" applyFont="1" applyBorder="1"/>
    <xf numFmtId="0" fontId="23" fillId="0" borderId="55" xfId="0" applyFont="1" applyBorder="1"/>
    <xf numFmtId="0" fontId="10" fillId="0" borderId="0" xfId="0" applyFont="1" applyBorder="1"/>
    <xf numFmtId="0" fontId="0" fillId="0" borderId="0" xfId="0" applyAlignment="1">
      <alignment horizontal="center"/>
    </xf>
    <xf numFmtId="178" fontId="0" fillId="0" borderId="10" xfId="0" applyNumberFormat="1" applyBorder="1" applyAlignment="1">
      <alignment vertical="center" shrinkToFit="1"/>
    </xf>
    <xf numFmtId="0" fontId="18" fillId="0" borderId="46" xfId="0" applyFont="1" applyBorder="1" applyAlignment="1">
      <alignment horizontal="distributed" vertical="top"/>
    </xf>
    <xf numFmtId="49" fontId="9" fillId="0" borderId="0" xfId="0" applyNumberFormat="1" applyFont="1" applyBorder="1" applyAlignment="1">
      <alignment shrinkToFit="1"/>
    </xf>
    <xf numFmtId="0" fontId="21" fillId="0" borderId="0" xfId="0" applyFont="1" applyBorder="1" applyAlignment="1">
      <alignment vertical="top" wrapText="1"/>
    </xf>
    <xf numFmtId="0" fontId="0" fillId="0" borderId="0" xfId="0" applyAlignment="1">
      <alignment horizontal="center"/>
    </xf>
    <xf numFmtId="0" fontId="0" fillId="3" borderId="1" xfId="0" applyFill="1" applyBorder="1"/>
    <xf numFmtId="0" fontId="24" fillId="0" borderId="0" xfId="0" applyFont="1" applyBorder="1" applyAlignment="1">
      <alignment horizontal="right" vertical="center" wrapText="1"/>
    </xf>
    <xf numFmtId="0" fontId="9" fillId="0" borderId="0" xfId="0" applyFont="1" applyBorder="1" applyAlignment="1">
      <alignment shrinkToFit="1"/>
    </xf>
    <xf numFmtId="0" fontId="9" fillId="0" borderId="0" xfId="0" applyFont="1" applyBorder="1"/>
    <xf numFmtId="0" fontId="0" fillId="0" borderId="0" xfId="0" applyFill="1" applyAlignment="1">
      <alignment horizontal="right"/>
    </xf>
    <xf numFmtId="0" fontId="0" fillId="0" borderId="0" xfId="0" applyFill="1" applyAlignment="1">
      <alignment horizontal="center"/>
    </xf>
    <xf numFmtId="0" fontId="0" fillId="0" borderId="12" xfId="0" applyFill="1" applyBorder="1" applyAlignment="1">
      <alignment horizontal="center"/>
    </xf>
    <xf numFmtId="0" fontId="8" fillId="0" borderId="12" xfId="0" applyFont="1" applyFill="1" applyBorder="1" applyAlignment="1">
      <alignment horizontal="center" vertical="center" shrinkToFit="1"/>
    </xf>
    <xf numFmtId="0" fontId="0" fillId="0" borderId="0" xfId="0" applyFont="1" applyFill="1" applyBorder="1" applyAlignment="1">
      <alignment horizontal="left"/>
    </xf>
    <xf numFmtId="14" fontId="0" fillId="0" borderId="10" xfId="0" applyNumberFormat="1" applyFill="1" applyBorder="1" applyAlignment="1">
      <alignment horizontal="center" vertical="center"/>
    </xf>
    <xf numFmtId="0" fontId="9" fillId="0" borderId="12" xfId="0" quotePrefix="1" applyFont="1" applyBorder="1" applyAlignment="1">
      <alignment horizontal="center"/>
    </xf>
    <xf numFmtId="0" fontId="10" fillId="0" borderId="46" xfId="0" applyNumberFormat="1" applyFont="1" applyBorder="1" applyAlignment="1">
      <alignment horizontal="center"/>
    </xf>
    <xf numFmtId="0" fontId="0" fillId="0" borderId="12" xfId="0" applyFill="1" applyBorder="1" applyAlignment="1" applyProtection="1">
      <alignment horizontal="center"/>
    </xf>
    <xf numFmtId="0" fontId="9" fillId="0" borderId="0" xfId="0" applyFont="1"/>
    <xf numFmtId="0" fontId="9" fillId="0" borderId="6" xfId="0" applyFont="1" applyBorder="1"/>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vertical="top" wrapText="1"/>
    </xf>
    <xf numFmtId="14" fontId="9" fillId="0" borderId="12" xfId="0" applyNumberFormat="1" applyFont="1" applyBorder="1" applyAlignment="1">
      <alignment horizontal="center"/>
    </xf>
    <xf numFmtId="0" fontId="25" fillId="0" borderId="46" xfId="0" applyFont="1" applyBorder="1" applyAlignment="1">
      <alignment horizontal="distributed" vertical="top"/>
    </xf>
    <xf numFmtId="0" fontId="9" fillId="0" borderId="0" xfId="0" applyFont="1" applyBorder="1" applyAlignment="1">
      <alignment horizontal="center"/>
    </xf>
    <xf numFmtId="0" fontId="9" fillId="0" borderId="0" xfId="0" applyFont="1" applyFill="1" applyAlignment="1">
      <alignment horizontal="right"/>
    </xf>
    <xf numFmtId="0" fontId="9" fillId="0" borderId="0" xfId="0" applyFont="1" applyFill="1" applyAlignment="1">
      <alignment horizontal="center"/>
    </xf>
    <xf numFmtId="0" fontId="9" fillId="0" borderId="12" xfId="0" applyFont="1" applyFill="1" applyBorder="1" applyAlignment="1">
      <alignment horizontal="center"/>
    </xf>
    <xf numFmtId="0" fontId="26" fillId="0" borderId="12" xfId="0" applyFont="1" applyFill="1" applyBorder="1" applyAlignment="1">
      <alignment horizontal="center" vertical="center" shrinkToFit="1"/>
    </xf>
    <xf numFmtId="0" fontId="10" fillId="0" borderId="0" xfId="0" applyFont="1" applyBorder="1" applyAlignment="1">
      <alignment horizontal="right"/>
    </xf>
    <xf numFmtId="0" fontId="9" fillId="0" borderId="12" xfId="0" applyFont="1" applyBorder="1"/>
    <xf numFmtId="0" fontId="9" fillId="0" borderId="0" xfId="0" applyFont="1" applyBorder="1" applyAlignment="1"/>
    <xf numFmtId="0" fontId="9" fillId="0" borderId="0" xfId="0" applyFont="1" applyBorder="1" applyAlignment="1">
      <alignment horizontal="right"/>
    </xf>
    <xf numFmtId="0" fontId="9" fillId="0" borderId="0" xfId="0" applyFont="1" applyFill="1" applyBorder="1" applyAlignment="1">
      <alignment horizontal="left"/>
    </xf>
    <xf numFmtId="0" fontId="9" fillId="0" borderId="20" xfId="0" applyFont="1" applyBorder="1"/>
    <xf numFmtId="0" fontId="27" fillId="2" borderId="31" xfId="0" applyFont="1" applyFill="1" applyBorder="1" applyAlignment="1">
      <alignment vertical="center"/>
    </xf>
    <xf numFmtId="0" fontId="9" fillId="2" borderId="0" xfId="0" applyFont="1" applyFill="1" applyAlignment="1">
      <alignment vertical="center"/>
    </xf>
    <xf numFmtId="0" fontId="9" fillId="2" borderId="24" xfId="0" applyFont="1" applyFill="1" applyBorder="1" applyAlignment="1">
      <alignment vertical="center"/>
    </xf>
    <xf numFmtId="0" fontId="9" fillId="0" borderId="0" xfId="0" applyFont="1" applyAlignment="1">
      <alignment vertical="center"/>
    </xf>
    <xf numFmtId="0" fontId="27" fillId="2" borderId="30" xfId="0" applyFont="1" applyFill="1" applyBorder="1" applyAlignment="1">
      <alignment vertical="center"/>
    </xf>
    <xf numFmtId="0" fontId="9" fillId="2" borderId="56" xfId="0" applyFont="1" applyFill="1" applyBorder="1" applyAlignment="1">
      <alignment vertical="center"/>
    </xf>
    <xf numFmtId="0" fontId="9" fillId="0" borderId="6" xfId="0" applyFont="1" applyBorder="1" applyAlignment="1">
      <alignment vertical="center"/>
    </xf>
    <xf numFmtId="0" fontId="25" fillId="2" borderId="40" xfId="0" quotePrefix="1" applyFont="1" applyFill="1" applyBorder="1" applyAlignment="1">
      <alignment horizontal="right" vertical="center"/>
    </xf>
    <xf numFmtId="0" fontId="9" fillId="0" borderId="11" xfId="0" applyFont="1" applyFill="1" applyBorder="1" applyAlignment="1">
      <alignment vertical="center"/>
    </xf>
    <xf numFmtId="14" fontId="9" fillId="0" borderId="10" xfId="0" applyNumberFormat="1" applyFont="1" applyFill="1" applyBorder="1" applyAlignment="1">
      <alignment horizontal="center" vertical="center"/>
    </xf>
    <xf numFmtId="0" fontId="9" fillId="0" borderId="25" xfId="0" applyFont="1" applyBorder="1" applyAlignment="1">
      <alignment vertical="center"/>
    </xf>
    <xf numFmtId="0" fontId="28" fillId="2" borderId="31" xfId="0" applyFont="1" applyFill="1" applyBorder="1" applyAlignment="1">
      <alignment vertical="center"/>
    </xf>
    <xf numFmtId="0" fontId="9" fillId="2" borderId="0" xfId="0" applyFont="1" applyFill="1" applyBorder="1" applyAlignment="1">
      <alignment vertical="center"/>
    </xf>
    <xf numFmtId="0" fontId="9" fillId="2" borderId="25" xfId="0" applyFont="1" applyFill="1" applyBorder="1" applyAlignment="1">
      <alignment vertical="center"/>
    </xf>
    <xf numFmtId="0" fontId="2" fillId="2" borderId="40" xfId="0" quotePrefix="1" applyFont="1" applyFill="1" applyBorder="1" applyAlignment="1">
      <alignment horizontal="right" vertical="center"/>
    </xf>
    <xf numFmtId="0" fontId="9" fillId="0" borderId="11" xfId="0" applyFont="1" applyFill="1" applyBorder="1" applyAlignment="1">
      <alignment vertical="center" shrinkToFit="1"/>
    </xf>
    <xf numFmtId="0" fontId="9" fillId="0" borderId="10" xfId="0" applyFont="1" applyBorder="1" applyAlignment="1">
      <alignment horizontal="center" vertical="center"/>
    </xf>
    <xf numFmtId="0" fontId="9" fillId="0" borderId="43" xfId="0" applyFont="1" applyBorder="1" applyAlignment="1">
      <alignment vertical="center"/>
    </xf>
    <xf numFmtId="0" fontId="26" fillId="0" borderId="10" xfId="0" applyFont="1" applyBorder="1" applyAlignment="1">
      <alignment horizontal="center" vertical="center" shrinkToFit="1"/>
    </xf>
    <xf numFmtId="0" fontId="9" fillId="0" borderId="2" xfId="0" applyFont="1" applyBorder="1" applyAlignment="1">
      <alignment vertical="center" shrinkToFit="1"/>
    </xf>
    <xf numFmtId="0" fontId="9" fillId="0" borderId="10" xfId="0" applyFont="1" applyBorder="1" applyAlignment="1">
      <alignment horizontal="center" vertical="center" shrinkToFit="1"/>
    </xf>
    <xf numFmtId="0" fontId="26" fillId="0" borderId="57" xfId="0" applyFont="1" applyFill="1" applyBorder="1" applyAlignment="1">
      <alignment vertical="center"/>
    </xf>
    <xf numFmtId="0" fontId="25" fillId="0" borderId="1" xfId="0" applyFont="1" applyFill="1" applyBorder="1" applyAlignment="1">
      <alignment vertical="center"/>
    </xf>
    <xf numFmtId="0" fontId="26" fillId="0" borderId="58" xfId="0" applyFont="1" applyFill="1" applyBorder="1" applyAlignment="1">
      <alignment horizontal="center" vertical="center"/>
    </xf>
    <xf numFmtId="0" fontId="10" fillId="0" borderId="2" xfId="0" applyFont="1" applyBorder="1" applyAlignment="1">
      <alignment vertical="center"/>
    </xf>
    <xf numFmtId="0" fontId="9" fillId="0" borderId="44" xfId="0" applyFont="1" applyBorder="1" applyAlignment="1">
      <alignment vertical="center"/>
    </xf>
    <xf numFmtId="0" fontId="2" fillId="0" borderId="1" xfId="0" applyFont="1" applyFill="1" applyBorder="1" applyAlignment="1">
      <alignment vertical="center"/>
    </xf>
    <xf numFmtId="0" fontId="9" fillId="0" borderId="11" xfId="0" applyFont="1" applyBorder="1" applyAlignment="1">
      <alignment vertical="center"/>
    </xf>
    <xf numFmtId="178" fontId="9" fillId="0" borderId="10" xfId="0" applyNumberFormat="1" applyFont="1" applyBorder="1" applyAlignment="1">
      <alignment vertical="center"/>
    </xf>
    <xf numFmtId="0" fontId="22" fillId="0" borderId="0" xfId="0" applyFont="1" applyAlignment="1">
      <alignment vertical="center"/>
    </xf>
    <xf numFmtId="0" fontId="9" fillId="0" borderId="2" xfId="0" applyFont="1" applyFill="1" applyBorder="1" applyAlignment="1">
      <alignment vertical="center"/>
    </xf>
    <xf numFmtId="0" fontId="2" fillId="2" borderId="39" xfId="0" quotePrefix="1" applyFont="1" applyFill="1" applyBorder="1" applyAlignment="1">
      <alignment horizontal="right" vertical="center"/>
    </xf>
    <xf numFmtId="0" fontId="9" fillId="0" borderId="29" xfId="0" applyFont="1" applyBorder="1" applyAlignment="1">
      <alignment vertical="center"/>
    </xf>
    <xf numFmtId="0" fontId="9" fillId="0" borderId="38" xfId="0" applyFont="1" applyBorder="1" applyAlignment="1">
      <alignment vertical="center"/>
    </xf>
    <xf numFmtId="0" fontId="9" fillId="0" borderId="26" xfId="0" applyFont="1" applyBorder="1" applyAlignment="1">
      <alignment vertical="center"/>
    </xf>
    <xf numFmtId="0" fontId="9" fillId="2" borderId="32" xfId="0" applyFont="1" applyFill="1" applyBorder="1" applyAlignment="1">
      <alignment vertical="center"/>
    </xf>
    <xf numFmtId="0" fontId="9" fillId="2" borderId="20" xfId="0" applyFont="1" applyFill="1" applyBorder="1" applyAlignment="1">
      <alignment vertical="center"/>
    </xf>
    <xf numFmtId="0" fontId="9" fillId="2" borderId="45" xfId="0" applyFont="1" applyFill="1" applyBorder="1" applyAlignment="1">
      <alignment vertical="center"/>
    </xf>
    <xf numFmtId="0" fontId="21" fillId="0" borderId="0" xfId="0" applyFont="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23" xfId="0" applyFont="1" applyBorder="1" applyAlignment="1">
      <alignment vertical="center"/>
    </xf>
    <xf numFmtId="0" fontId="9" fillId="0" borderId="22" xfId="0" applyFont="1" applyBorder="1" applyAlignment="1">
      <alignment horizontal="center" vertical="center" shrinkToFit="1"/>
    </xf>
    <xf numFmtId="0" fontId="9" fillId="0" borderId="22" xfId="0" applyFont="1" applyBorder="1" applyAlignment="1">
      <alignment vertical="center"/>
    </xf>
    <xf numFmtId="0" fontId="9" fillId="0" borderId="13" xfId="0" applyFont="1" applyBorder="1" applyAlignment="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27" fillId="2" borderId="0" xfId="0" applyFont="1" applyFill="1" applyBorder="1" applyAlignment="1">
      <alignment horizontal="center" vertical="center" shrinkToFit="1"/>
    </xf>
    <xf numFmtId="0" fontId="9" fillId="0" borderId="15" xfId="0" applyFont="1" applyBorder="1" applyAlignment="1">
      <alignment vertical="center"/>
    </xf>
    <xf numFmtId="0" fontId="25" fillId="2" borderId="31" xfId="0" quotePrefix="1" applyFont="1" applyFill="1" applyBorder="1" applyAlignment="1">
      <alignment horizontal="right" vertical="center"/>
    </xf>
    <xf numFmtId="0" fontId="9" fillId="0" borderId="14" xfId="0" applyFont="1" applyBorder="1" applyAlignment="1">
      <alignment vertical="center"/>
    </xf>
    <xf numFmtId="0" fontId="25" fillId="2" borderId="0" xfId="0" quotePrefix="1" applyFont="1" applyFill="1" applyBorder="1" applyAlignment="1">
      <alignment horizontal="right" vertical="center"/>
    </xf>
    <xf numFmtId="0" fontId="2" fillId="2" borderId="31" xfId="0" quotePrefix="1" applyFont="1" applyFill="1" applyBorder="1" applyAlignment="1">
      <alignment horizontal="right" vertical="center"/>
    </xf>
    <xf numFmtId="0" fontId="2"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0" borderId="11" xfId="0" applyFont="1" applyBorder="1" applyAlignment="1">
      <alignment vertical="center" shrinkToFit="1"/>
    </xf>
    <xf numFmtId="0" fontId="9" fillId="0" borderId="14" xfId="0" applyFont="1" applyBorder="1" applyAlignment="1">
      <alignment vertical="center" shrinkToFit="1"/>
    </xf>
    <xf numFmtId="0" fontId="26" fillId="0" borderId="10" xfId="0" applyFont="1" applyBorder="1" applyAlignment="1">
      <alignment horizontal="center" vertical="center"/>
    </xf>
    <xf numFmtId="0" fontId="2" fillId="2" borderId="0" xfId="0" quotePrefix="1" applyFont="1" applyFill="1" applyBorder="1" applyAlignment="1">
      <alignment horizontal="right" vertical="center"/>
    </xf>
    <xf numFmtId="0" fontId="2" fillId="2" borderId="32" xfId="0" quotePrefix="1" applyFont="1" applyFill="1" applyBorder="1" applyAlignment="1">
      <alignment horizontal="right" vertical="center"/>
    </xf>
    <xf numFmtId="0" fontId="9" fillId="0" borderId="28" xfId="0" applyFont="1" applyBorder="1" applyAlignment="1">
      <alignment vertical="center"/>
    </xf>
    <xf numFmtId="0" fontId="9" fillId="0" borderId="27" xfId="0" applyFont="1" applyBorder="1" applyAlignment="1">
      <alignment vertical="center"/>
    </xf>
    <xf numFmtId="0" fontId="9" fillId="2" borderId="33" xfId="0" applyFont="1" applyFill="1" applyBorder="1" applyAlignment="1">
      <alignment vertical="center"/>
    </xf>
    <xf numFmtId="0" fontId="26" fillId="0" borderId="46" xfId="0" applyFont="1" applyBorder="1" applyAlignment="1">
      <alignment horizontal="center" vertical="center"/>
    </xf>
    <xf numFmtId="0" fontId="28" fillId="0" borderId="20" xfId="0" applyFont="1" applyBorder="1" applyAlignment="1">
      <alignment vertical="top"/>
    </xf>
    <xf numFmtId="0" fontId="9" fillId="0" borderId="20" xfId="0" applyFont="1" applyBorder="1" applyAlignment="1">
      <alignment vertical="top"/>
    </xf>
    <xf numFmtId="0" fontId="9" fillId="0" borderId="33" xfId="0" applyFont="1" applyBorder="1" applyAlignment="1">
      <alignment vertical="top"/>
    </xf>
    <xf numFmtId="0" fontId="9" fillId="0" borderId="34" xfId="0" applyFont="1" applyBorder="1" applyAlignment="1">
      <alignment vertical="top"/>
    </xf>
    <xf numFmtId="0" fontId="9" fillId="0" borderId="37" xfId="0" applyFont="1" applyBorder="1" applyAlignment="1">
      <alignment vertical="top"/>
    </xf>
    <xf numFmtId="0" fontId="9" fillId="0" borderId="15" xfId="0" applyFont="1" applyBorder="1" applyAlignment="1">
      <alignment vertical="top"/>
    </xf>
    <xf numFmtId="0" fontId="9" fillId="0" borderId="6" xfId="0" applyFont="1" applyBorder="1" applyAlignment="1">
      <alignment vertical="top"/>
    </xf>
    <xf numFmtId="0" fontId="9" fillId="0" borderId="0" xfId="0" applyFont="1" applyAlignment="1">
      <alignment vertical="top"/>
    </xf>
    <xf numFmtId="0" fontId="9" fillId="0" borderId="35" xfId="0" applyFont="1" applyBorder="1" applyAlignment="1">
      <alignment vertical="center"/>
    </xf>
    <xf numFmtId="0" fontId="9" fillId="2" borderId="35" xfId="0" applyFont="1" applyFill="1" applyBorder="1" applyAlignment="1">
      <alignment vertical="center"/>
    </xf>
    <xf numFmtId="0" fontId="9" fillId="0" borderId="36" xfId="0" applyFont="1" applyBorder="1" applyAlignment="1">
      <alignment vertical="center"/>
    </xf>
    <xf numFmtId="0" fontId="9" fillId="0" borderId="19" xfId="0" applyFont="1" applyBorder="1" applyAlignment="1">
      <alignment vertical="center"/>
    </xf>
    <xf numFmtId="0" fontId="2" fillId="2" borderId="33" xfId="0" quotePrefix="1" applyFont="1" applyFill="1" applyBorder="1" applyAlignment="1">
      <alignment horizontal="right" vertical="center"/>
    </xf>
    <xf numFmtId="0" fontId="9" fillId="2" borderId="28" xfId="0" applyFont="1" applyFill="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11"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29" xfId="0" applyFont="1" applyBorder="1" applyAlignment="1">
      <alignment vertical="center" shrinkToFit="1"/>
    </xf>
    <xf numFmtId="0" fontId="2" fillId="2" borderId="20" xfId="0" quotePrefix="1" applyFont="1" applyFill="1" applyBorder="1" applyAlignment="1">
      <alignment horizontal="right" vertical="center"/>
    </xf>
    <xf numFmtId="0" fontId="9" fillId="0" borderId="16" xfId="0" applyFont="1" applyBorder="1"/>
    <xf numFmtId="0" fontId="9" fillId="0" borderId="17" xfId="0" applyFont="1" applyBorder="1" applyAlignment="1">
      <alignment horizontal="center"/>
    </xf>
    <xf numFmtId="0" fontId="9" fillId="0" borderId="18" xfId="0" applyFont="1" applyBorder="1"/>
    <xf numFmtId="0" fontId="9" fillId="0" borderId="17" xfId="0" applyFont="1" applyBorder="1"/>
    <xf numFmtId="0" fontId="30" fillId="0" borderId="12" xfId="0" applyFont="1" applyBorder="1"/>
    <xf numFmtId="0" fontId="32" fillId="0" borderId="41" xfId="0" applyFont="1" applyBorder="1"/>
    <xf numFmtId="0" fontId="28" fillId="0" borderId="0" xfId="0" applyFont="1"/>
    <xf numFmtId="0" fontId="23" fillId="0" borderId="0" xfId="0" applyFont="1"/>
    <xf numFmtId="0" fontId="23" fillId="0" borderId="0" xfId="0" applyFont="1" applyFill="1"/>
    <xf numFmtId="0" fontId="9" fillId="0" borderId="0" xfId="0" applyFont="1" applyFill="1"/>
    <xf numFmtId="0" fontId="23" fillId="0" borderId="0" xfId="0" applyFont="1" applyBorder="1"/>
    <xf numFmtId="0" fontId="9" fillId="0" borderId="55" xfId="0" applyFont="1" applyBorder="1"/>
    <xf numFmtId="0" fontId="26" fillId="0" borderId="0" xfId="0" applyFont="1"/>
    <xf numFmtId="0" fontId="28" fillId="0" borderId="47" xfId="0" applyFont="1" applyBorder="1"/>
    <xf numFmtId="0" fontId="23" fillId="0" borderId="48" xfId="0" applyFont="1" applyBorder="1"/>
    <xf numFmtId="177" fontId="23" fillId="0" borderId="48" xfId="0" applyNumberFormat="1" applyFont="1" applyBorder="1" applyAlignment="1">
      <alignment horizontal="right"/>
    </xf>
    <xf numFmtId="0" fontId="23" fillId="0" borderId="51" xfId="0" applyFont="1" applyBorder="1"/>
    <xf numFmtId="0" fontId="34" fillId="0" borderId="0" xfId="0" applyFont="1"/>
    <xf numFmtId="0" fontId="23" fillId="0" borderId="7" xfId="0" applyFont="1" applyBorder="1" applyAlignment="1">
      <alignment vertical="center"/>
    </xf>
    <xf numFmtId="0" fontId="23" fillId="0" borderId="8" xfId="0" applyFont="1" applyBorder="1" applyAlignment="1">
      <alignment vertical="center"/>
    </xf>
    <xf numFmtId="177" fontId="23" fillId="0" borderId="8" xfId="0" applyNumberFormat="1" applyFont="1" applyBorder="1" applyAlignment="1">
      <alignment horizontal="right" vertical="center"/>
    </xf>
    <xf numFmtId="0" fontId="23" fillId="0" borderId="50" xfId="0" applyFont="1" applyBorder="1"/>
    <xf numFmtId="0" fontId="23" fillId="0" borderId="8" xfId="0" applyFont="1" applyBorder="1"/>
    <xf numFmtId="0" fontId="23" fillId="0" borderId="9" xfId="0" applyFont="1" applyBorder="1"/>
    <xf numFmtId="0" fontId="23" fillId="0" borderId="47" xfId="0" applyFont="1" applyFill="1" applyBorder="1" applyAlignment="1">
      <alignment vertical="center"/>
    </xf>
    <xf numFmtId="0" fontId="23" fillId="0" borderId="48" xfId="0" applyFont="1" applyFill="1" applyBorder="1" applyAlignment="1">
      <alignment vertical="center"/>
    </xf>
    <xf numFmtId="177" fontId="23" fillId="0" borderId="48" xfId="0" applyNumberFormat="1" applyFont="1" applyFill="1" applyBorder="1" applyAlignment="1">
      <alignment horizontal="right" vertical="center"/>
    </xf>
    <xf numFmtId="0" fontId="23" fillId="0" borderId="51" xfId="0" applyFont="1" applyFill="1" applyBorder="1"/>
    <xf numFmtId="0" fontId="23" fillId="0" borderId="48" xfId="0" applyFont="1" applyFill="1" applyBorder="1"/>
    <xf numFmtId="0" fontId="23" fillId="0" borderId="49" xfId="0" applyFont="1" applyFill="1" applyBorder="1"/>
    <xf numFmtId="0" fontId="23" fillId="0" borderId="7" xfId="0" applyFont="1" applyFill="1" applyBorder="1" applyAlignment="1">
      <alignment vertical="center"/>
    </xf>
    <xf numFmtId="0" fontId="23" fillId="0" borderId="8" xfId="0" applyFont="1" applyFill="1" applyBorder="1" applyAlignment="1">
      <alignment vertical="center"/>
    </xf>
    <xf numFmtId="177" fontId="23" fillId="0" borderId="8" xfId="0" applyNumberFormat="1" applyFont="1" applyFill="1" applyBorder="1" applyAlignment="1">
      <alignment horizontal="right" vertical="center"/>
    </xf>
    <xf numFmtId="0" fontId="23" fillId="0" borderId="50" xfId="0" applyFont="1" applyFill="1" applyBorder="1"/>
    <xf numFmtId="0" fontId="23" fillId="0" borderId="8" xfId="0" applyFont="1" applyFill="1" applyBorder="1"/>
    <xf numFmtId="0" fontId="23" fillId="0" borderId="9" xfId="0" applyFont="1" applyFill="1" applyBorder="1"/>
    <xf numFmtId="0" fontId="25" fillId="0" borderId="6" xfId="0" applyFont="1" applyBorder="1" applyAlignment="1">
      <alignment horizontal="right"/>
    </xf>
    <xf numFmtId="0" fontId="10" fillId="0" borderId="12" xfId="0" applyFont="1" applyBorder="1"/>
    <xf numFmtId="0" fontId="10" fillId="0" borderId="12" xfId="0" applyFont="1" applyBorder="1" applyAlignment="1">
      <alignment horizontal="center"/>
    </xf>
    <xf numFmtId="0" fontId="10" fillId="0" borderId="12" xfId="0" applyNumberFormat="1" applyFont="1" applyBorder="1" applyAlignment="1">
      <alignment horizontal="center"/>
    </xf>
    <xf numFmtId="0" fontId="12" fillId="0" borderId="59" xfId="0" applyFont="1" applyBorder="1" applyProtection="1"/>
    <xf numFmtId="14" fontId="0" fillId="0" borderId="0" xfId="0" applyNumberFormat="1"/>
    <xf numFmtId="0" fontId="0" fillId="3" borderId="1" xfId="0" quotePrefix="1" applyFill="1" applyBorder="1"/>
    <xf numFmtId="0" fontId="0" fillId="0" borderId="60" xfId="0" applyBorder="1" applyAlignment="1">
      <alignment vertical="center"/>
    </xf>
    <xf numFmtId="14" fontId="0" fillId="0" borderId="61" xfId="0" applyNumberFormat="1" applyFill="1" applyBorder="1" applyAlignment="1">
      <alignment horizontal="center" vertical="center"/>
    </xf>
    <xf numFmtId="0" fontId="9" fillId="0" borderId="60" xfId="0" applyFont="1" applyFill="1" applyBorder="1" applyAlignment="1">
      <alignment vertical="center"/>
    </xf>
    <xf numFmtId="14" fontId="9" fillId="0" borderId="61" xfId="0" applyNumberFormat="1" applyFont="1" applyFill="1" applyBorder="1" applyAlignment="1">
      <alignment horizontal="center" vertical="center"/>
    </xf>
    <xf numFmtId="0" fontId="0" fillId="0" borderId="60" xfId="0" applyFill="1" applyBorder="1" applyAlignment="1">
      <alignment vertical="center"/>
    </xf>
    <xf numFmtId="0" fontId="21" fillId="0" borderId="5" xfId="0" applyFont="1" applyBorder="1" applyAlignment="1">
      <alignment vertical="top"/>
    </xf>
    <xf numFmtId="0" fontId="22" fillId="0" borderId="0" xfId="0" applyFont="1" applyAlignment="1">
      <alignment vertical="top"/>
    </xf>
    <xf numFmtId="0" fontId="23" fillId="0" borderId="0" xfId="0" applyFont="1" applyAlignment="1"/>
    <xf numFmtId="0" fontId="21" fillId="0" borderId="0" xfId="0" applyFont="1"/>
    <xf numFmtId="0" fontId="9" fillId="0" borderId="1" xfId="0" applyFont="1" applyFill="1" applyBorder="1"/>
    <xf numFmtId="177" fontId="10" fillId="0" borderId="1" xfId="0" applyNumberFormat="1" applyFont="1" applyFill="1" applyBorder="1"/>
    <xf numFmtId="0" fontId="10" fillId="0" borderId="1" xfId="0" applyFont="1" applyFill="1" applyBorder="1" applyAlignment="1">
      <alignment horizontal="center"/>
    </xf>
    <xf numFmtId="0" fontId="10" fillId="0" borderId="1" xfId="0" applyFont="1" applyFill="1" applyBorder="1"/>
    <xf numFmtId="14" fontId="10" fillId="0" borderId="1" xfId="0" applyNumberFormat="1" applyFont="1" applyFill="1" applyBorder="1"/>
    <xf numFmtId="0" fontId="10" fillId="0" borderId="1" xfId="0" applyNumberFormat="1" applyFont="1" applyFill="1" applyBorder="1"/>
    <xf numFmtId="0" fontId="9" fillId="4" borderId="62" xfId="0" applyFont="1" applyFill="1" applyBorder="1"/>
    <xf numFmtId="0" fontId="9" fillId="4" borderId="1" xfId="0" applyFont="1" applyFill="1" applyBorder="1"/>
    <xf numFmtId="0" fontId="23" fillId="4" borderId="1" xfId="0" applyFont="1" applyFill="1" applyBorder="1"/>
    <xf numFmtId="0" fontId="9" fillId="4" borderId="11" xfId="0" applyFont="1" applyFill="1" applyBorder="1"/>
    <xf numFmtId="0" fontId="10" fillId="4" borderId="11" xfId="0" applyFont="1" applyFill="1" applyBorder="1"/>
    <xf numFmtId="0" fontId="10" fillId="4" borderId="7" xfId="0" applyFont="1" applyFill="1" applyBorder="1"/>
    <xf numFmtId="177" fontId="10" fillId="4" borderId="59" xfId="0" applyNumberFormat="1" applyFont="1" applyFill="1" applyBorder="1"/>
    <xf numFmtId="0" fontId="10" fillId="4" borderId="59" xfId="0" applyFont="1" applyFill="1" applyBorder="1"/>
    <xf numFmtId="0" fontId="10" fillId="4" borderId="9" xfId="0" applyFont="1" applyFill="1" applyBorder="1"/>
    <xf numFmtId="0" fontId="0" fillId="4" borderId="11" xfId="0" applyFill="1" applyBorder="1"/>
    <xf numFmtId="0" fontId="0" fillId="4" borderId="0" xfId="0" applyFill="1"/>
    <xf numFmtId="0" fontId="0" fillId="4" borderId="5" xfId="0" applyFill="1" applyBorder="1"/>
    <xf numFmtId="0" fontId="10" fillId="0" borderId="0" xfId="0" applyFont="1" applyFill="1"/>
    <xf numFmtId="177" fontId="10" fillId="0" borderId="1" xfId="0" applyNumberFormat="1" applyFont="1" applyBorder="1"/>
    <xf numFmtId="0" fontId="12" fillId="0" borderId="1" xfId="0" applyFont="1" applyFill="1" applyBorder="1"/>
    <xf numFmtId="49" fontId="12" fillId="0" borderId="1" xfId="0" applyNumberFormat="1" applyFont="1" applyFill="1" applyBorder="1" applyAlignment="1">
      <alignment horizontal="right"/>
    </xf>
    <xf numFmtId="14" fontId="0" fillId="0" borderId="0" xfId="0" applyNumberFormat="1" applyFill="1"/>
    <xf numFmtId="14" fontId="18" fillId="0" borderId="6" xfId="0" applyNumberFormat="1" applyFont="1" applyBorder="1" applyAlignment="1">
      <alignment horizontal="right"/>
    </xf>
    <xf numFmtId="177" fontId="36" fillId="0" borderId="1" xfId="0" applyNumberFormat="1" applyFont="1" applyBorder="1"/>
    <xf numFmtId="0" fontId="36" fillId="0" borderId="1" xfId="0" applyFont="1" applyFill="1" applyBorder="1"/>
    <xf numFmtId="0" fontId="10" fillId="4" borderId="2" xfId="0" applyFont="1" applyFill="1" applyBorder="1"/>
    <xf numFmtId="0" fontId="10" fillId="4" borderId="4" xfId="0" applyFont="1" applyFill="1" applyBorder="1"/>
    <xf numFmtId="0" fontId="36" fillId="0" borderId="1" xfId="0" applyFont="1" applyBorder="1"/>
    <xf numFmtId="0" fontId="37" fillId="0" borderId="0" xfId="0" applyFont="1" applyAlignment="1">
      <alignment vertical="center"/>
    </xf>
    <xf numFmtId="0" fontId="38" fillId="0" borderId="0" xfId="0" applyFont="1" applyAlignment="1">
      <alignment vertical="center"/>
    </xf>
    <xf numFmtId="0" fontId="0" fillId="0" borderId="0" xfId="0" applyAlignment="1">
      <alignment horizontal="center"/>
    </xf>
    <xf numFmtId="0" fontId="0" fillId="0" borderId="0" xfId="0" applyBorder="1" applyAlignment="1">
      <alignment horizontal="right"/>
    </xf>
    <xf numFmtId="0" fontId="0" fillId="0" borderId="0" xfId="0" applyBorder="1" applyAlignment="1">
      <alignment vertical="center"/>
    </xf>
    <xf numFmtId="0" fontId="15" fillId="0" borderId="48" xfId="0" applyFont="1" applyBorder="1"/>
    <xf numFmtId="0" fontId="0" fillId="0" borderId="0" xfId="0" applyFill="1" applyBorder="1" applyAlignment="1" applyProtection="1">
      <alignment horizontal="center"/>
    </xf>
    <xf numFmtId="0" fontId="13" fillId="2" borderId="30" xfId="0" applyFont="1" applyFill="1" applyBorder="1" applyAlignment="1">
      <alignment vertical="center"/>
    </xf>
    <xf numFmtId="0" fontId="13" fillId="2" borderId="56" xfId="0" applyFont="1" applyFill="1" applyBorder="1" applyAlignment="1">
      <alignment vertical="center"/>
    </xf>
    <xf numFmtId="0" fontId="0" fillId="0" borderId="68" xfId="0" applyBorder="1" applyAlignment="1">
      <alignment vertical="center"/>
    </xf>
    <xf numFmtId="0" fontId="13" fillId="2" borderId="69" xfId="0" applyFont="1" applyFill="1" applyBorder="1" applyAlignment="1">
      <alignment horizontal="left" vertical="center"/>
    </xf>
    <xf numFmtId="0" fontId="0" fillId="0" borderId="70" xfId="0" applyBorder="1" applyAlignment="1">
      <alignment vertical="center"/>
    </xf>
    <xf numFmtId="0" fontId="0" fillId="2" borderId="70" xfId="0" applyFill="1"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66" xfId="0" applyBorder="1" applyAlignment="1">
      <alignment vertical="center"/>
    </xf>
    <xf numFmtId="0" fontId="0" fillId="2" borderId="34" xfId="0" applyFill="1" applyBorder="1" applyAlignment="1">
      <alignment vertical="center"/>
    </xf>
    <xf numFmtId="0" fontId="0" fillId="2" borderId="20" xfId="0" applyFill="1" applyBorder="1" applyAlignment="1">
      <alignment horizontal="center" vertical="center"/>
    </xf>
    <xf numFmtId="14" fontId="0" fillId="2" borderId="0" xfId="0" applyNumberFormat="1" applyFill="1" applyBorder="1" applyAlignment="1">
      <alignment horizontal="center" vertical="center"/>
    </xf>
    <xf numFmtId="0" fontId="8" fillId="2" borderId="0" xfId="0" applyFont="1" applyFill="1" applyBorder="1" applyAlignment="1">
      <alignment horizontal="center" vertical="center"/>
    </xf>
    <xf numFmtId="0" fontId="0" fillId="2" borderId="72" xfId="0" applyFill="1" applyBorder="1" applyAlignment="1">
      <alignment vertical="center"/>
    </xf>
    <xf numFmtId="0" fontId="8" fillId="2" borderId="20" xfId="0" applyFont="1" applyFill="1" applyBorder="1" applyAlignment="1">
      <alignment horizontal="center" vertical="center"/>
    </xf>
    <xf numFmtId="0" fontId="0" fillId="2" borderId="0" xfId="0" applyFill="1" applyBorder="1" applyAlignment="1">
      <alignment horizontal="center" vertical="center" shrinkToFit="1"/>
    </xf>
    <xf numFmtId="178" fontId="0" fillId="2" borderId="0" xfId="0" applyNumberFormat="1" applyFill="1" applyBorder="1" applyAlignment="1">
      <alignment vertical="center" shrinkToFit="1"/>
    </xf>
    <xf numFmtId="178" fontId="0" fillId="2" borderId="20" xfId="0" applyNumberFormat="1" applyFill="1" applyBorder="1" applyAlignment="1">
      <alignment vertical="center" shrinkToFit="1"/>
    </xf>
    <xf numFmtId="0" fontId="0" fillId="2" borderId="73" xfId="0" applyFill="1" applyBorder="1" applyAlignment="1">
      <alignment vertical="center"/>
    </xf>
    <xf numFmtId="0" fontId="0" fillId="2" borderId="69" xfId="0" applyFill="1" applyBorder="1" applyAlignment="1">
      <alignment vertical="center"/>
    </xf>
    <xf numFmtId="0" fontId="0" fillId="0" borderId="74"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13" fillId="2" borderId="73" xfId="0" applyFont="1" applyFill="1" applyBorder="1" applyAlignment="1">
      <alignment vertical="center"/>
    </xf>
    <xf numFmtId="0" fontId="0" fillId="0" borderId="74" xfId="0" applyBorder="1" applyAlignment="1">
      <alignment horizontal="left" vertical="center" shrinkToFit="1"/>
    </xf>
    <xf numFmtId="0" fontId="0" fillId="0" borderId="79" xfId="0" applyBorder="1" applyAlignment="1">
      <alignment vertical="center"/>
    </xf>
    <xf numFmtId="0" fontId="0" fillId="0" borderId="80" xfId="0" applyBorder="1" applyAlignment="1">
      <alignment vertical="center"/>
    </xf>
    <xf numFmtId="0" fontId="0" fillId="0" borderId="81" xfId="0" applyBorder="1" applyAlignment="1">
      <alignment vertical="center"/>
    </xf>
    <xf numFmtId="0" fontId="0" fillId="2" borderId="82" xfId="0" applyFill="1" applyBorder="1" applyAlignment="1">
      <alignment vertical="center"/>
    </xf>
    <xf numFmtId="0" fontId="0" fillId="0" borderId="83" xfId="0" applyBorder="1" applyAlignment="1">
      <alignment horizontal="center" vertical="center" shrinkToFit="1"/>
    </xf>
    <xf numFmtId="0" fontId="0" fillId="0" borderId="83" xfId="0" applyBorder="1" applyAlignment="1">
      <alignment vertical="center"/>
    </xf>
    <xf numFmtId="0" fontId="0" fillId="0" borderId="0" xfId="0" applyBorder="1" applyAlignment="1">
      <alignment vertical="top"/>
    </xf>
    <xf numFmtId="0" fontId="0" fillId="0" borderId="0" xfId="0" applyFill="1" applyBorder="1" applyAlignment="1">
      <alignment vertical="top"/>
    </xf>
    <xf numFmtId="0" fontId="39" fillId="0" borderId="4" xfId="0" applyFont="1" applyBorder="1" applyAlignment="1">
      <alignment horizontal="center" vertical="center"/>
    </xf>
    <xf numFmtId="0" fontId="40" fillId="0" borderId="6" xfId="0" applyFont="1" applyBorder="1" applyAlignment="1">
      <alignment horizontal="center" vertical="center"/>
    </xf>
    <xf numFmtId="0" fontId="0" fillId="0" borderId="84"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9" fillId="0" borderId="0" xfId="0" applyFont="1" applyBorder="1" applyAlignment="1">
      <alignment horizontal="center" shrinkToFit="1"/>
    </xf>
    <xf numFmtId="0" fontId="24" fillId="0" borderId="0" xfId="0" applyFont="1" applyBorder="1" applyAlignment="1">
      <alignment horizontal="center" vertical="center" wrapText="1"/>
    </xf>
    <xf numFmtId="0" fontId="35" fillId="0" borderId="0" xfId="0" applyFont="1" applyBorder="1" applyAlignment="1">
      <alignment horizontal="center" vertical="center"/>
    </xf>
    <xf numFmtId="177" fontId="16" fillId="0" borderId="0" xfId="0" applyNumberFormat="1" applyFont="1" applyBorder="1" applyAlignment="1">
      <alignment horizontal="right" vertical="center"/>
    </xf>
    <xf numFmtId="0" fontId="16" fillId="0" borderId="0" xfId="0" applyFont="1" applyFill="1" applyBorder="1"/>
    <xf numFmtId="177" fontId="16" fillId="0" borderId="0" xfId="0" applyNumberFormat="1" applyFont="1" applyFill="1" applyBorder="1" applyAlignment="1">
      <alignment horizontal="right" vertical="center"/>
    </xf>
    <xf numFmtId="0" fontId="8" fillId="0" borderId="57" xfId="0" applyFont="1" applyFill="1" applyBorder="1" applyAlignment="1">
      <alignment horizontal="center" vertical="center"/>
    </xf>
    <xf numFmtId="0" fontId="0" fillId="0" borderId="87" xfId="0" applyBorder="1" applyAlignment="1">
      <alignment vertical="center"/>
    </xf>
    <xf numFmtId="177" fontId="16" fillId="0" borderId="49" xfId="0" applyNumberFormat="1" applyFont="1" applyFill="1" applyBorder="1" applyAlignment="1">
      <alignment horizontal="right" vertical="center"/>
    </xf>
    <xf numFmtId="177" fontId="16" fillId="0" borderId="9" xfId="0" applyNumberFormat="1" applyFont="1" applyFill="1" applyBorder="1" applyAlignment="1">
      <alignment horizontal="right" vertical="center"/>
    </xf>
    <xf numFmtId="0" fontId="16" fillId="0" borderId="59" xfId="0" applyFont="1" applyBorder="1" applyAlignment="1">
      <alignment horizontal="right"/>
    </xf>
    <xf numFmtId="0" fontId="10" fillId="0" borderId="61" xfId="0" applyFont="1" applyBorder="1"/>
    <xf numFmtId="0" fontId="10" fillId="4" borderId="64" xfId="0" applyFont="1" applyFill="1" applyBorder="1"/>
    <xf numFmtId="0" fontId="10" fillId="4" borderId="65" xfId="0" applyFont="1" applyFill="1" applyBorder="1"/>
    <xf numFmtId="0" fontId="10" fillId="0" borderId="63" xfId="0" applyFont="1" applyBorder="1"/>
    <xf numFmtId="0" fontId="36" fillId="4" borderId="11" xfId="0" applyFont="1" applyFill="1" applyBorder="1"/>
    <xf numFmtId="0" fontId="36" fillId="4" borderId="59" xfId="0" applyFont="1" applyFill="1" applyBorder="1"/>
    <xf numFmtId="0" fontId="36" fillId="0" borderId="11" xfId="0" applyFont="1" applyBorder="1"/>
    <xf numFmtId="0" fontId="15" fillId="0" borderId="88" xfId="0" applyFont="1" applyBorder="1"/>
    <xf numFmtId="0" fontId="16" fillId="0" borderId="89" xfId="0" applyFont="1" applyBorder="1" applyAlignment="1">
      <alignment vertical="center"/>
    </xf>
    <xf numFmtId="0" fontId="0" fillId="0" borderId="0" xfId="0" applyAlignment="1">
      <alignment horizontal="center" vertical="center" shrinkToFit="1"/>
    </xf>
    <xf numFmtId="0" fontId="18" fillId="0" borderId="0" xfId="0" applyFont="1" applyBorder="1" applyAlignment="1">
      <alignment vertical="center"/>
    </xf>
    <xf numFmtId="0" fontId="0" fillId="0" borderId="55" xfId="0" applyBorder="1" applyAlignment="1">
      <alignment horizontal="right"/>
    </xf>
    <xf numFmtId="49" fontId="9" fillId="0" borderId="90" xfId="0" quotePrefix="1" applyNumberFormat="1" applyFont="1" applyBorder="1" applyAlignment="1">
      <alignment horizontal="left"/>
    </xf>
    <xf numFmtId="0" fontId="0" fillId="0" borderId="55" xfId="0" applyBorder="1" applyAlignment="1">
      <alignment horizontal="center"/>
    </xf>
    <xf numFmtId="0" fontId="0" fillId="0" borderId="90" xfId="0" applyBorder="1" applyAlignment="1"/>
    <xf numFmtId="0" fontId="0" fillId="0" borderId="90" xfId="0" applyBorder="1" applyAlignment="1">
      <alignment horizontal="center"/>
    </xf>
    <xf numFmtId="14" fontId="0" fillId="0" borderId="91" xfId="0" applyNumberFormat="1" applyBorder="1" applyAlignment="1">
      <alignment horizontal="center"/>
    </xf>
    <xf numFmtId="0" fontId="0" fillId="0" borderId="93" xfId="0" applyBorder="1" applyAlignment="1">
      <alignment horizontal="right"/>
    </xf>
    <xf numFmtId="0" fontId="0" fillId="0" borderId="94" xfId="0" applyBorder="1"/>
    <xf numFmtId="0" fontId="0" fillId="0" borderId="95" xfId="0" applyBorder="1"/>
    <xf numFmtId="0" fontId="0" fillId="0" borderId="90" xfId="0" applyBorder="1" applyAlignment="1">
      <alignment horizontal="center" shrinkToFit="1"/>
    </xf>
    <xf numFmtId="0" fontId="0" fillId="0" borderId="55" xfId="0" applyBorder="1" applyAlignment="1">
      <alignment horizontal="right" shrinkToFit="1"/>
    </xf>
    <xf numFmtId="14" fontId="0" fillId="0" borderId="90" xfId="0" applyNumberFormat="1" applyBorder="1" applyAlignment="1">
      <alignment horizontal="center"/>
    </xf>
    <xf numFmtId="14" fontId="0" fillId="0" borderId="55" xfId="0" applyNumberFormat="1" applyBorder="1" applyAlignment="1">
      <alignment horizontal="center"/>
    </xf>
    <xf numFmtId="0" fontId="18" fillId="0" borderId="93" xfId="0" applyFont="1" applyBorder="1" applyAlignment="1">
      <alignment vertical="center"/>
    </xf>
    <xf numFmtId="0" fontId="0" fillId="0" borderId="92" xfId="0" applyBorder="1" applyAlignment="1">
      <alignment horizontal="center" shrinkToFit="1"/>
    </xf>
    <xf numFmtId="0" fontId="39" fillId="0" borderId="61" xfId="0" applyFont="1" applyFill="1" applyBorder="1" applyAlignment="1">
      <alignment horizontal="center" vertical="center"/>
    </xf>
    <xf numFmtId="0" fontId="40" fillId="0" borderId="42" xfId="0" applyFont="1" applyFill="1" applyBorder="1" applyAlignment="1">
      <alignment horizontal="center" vertical="center"/>
    </xf>
    <xf numFmtId="0" fontId="16" fillId="0" borderId="8" xfId="0" applyFont="1" applyFill="1" applyBorder="1" applyAlignment="1">
      <alignment horizontal="right" vertical="center"/>
    </xf>
    <xf numFmtId="0" fontId="16" fillId="0" borderId="0" xfId="0" applyFont="1" applyBorder="1" applyAlignment="1"/>
    <xf numFmtId="0" fontId="10" fillId="0" borderId="93" xfId="0" applyFont="1" applyBorder="1"/>
    <xf numFmtId="0" fontId="2" fillId="0" borderId="93" xfId="0" applyFont="1" applyBorder="1" applyAlignment="1">
      <alignment horizontal="distributed" vertical="top"/>
    </xf>
    <xf numFmtId="0" fontId="2" fillId="0" borderId="91" xfId="0" applyFont="1" applyBorder="1" applyAlignment="1">
      <alignment horizontal="distributed" vertical="top"/>
    </xf>
    <xf numFmtId="0" fontId="10" fillId="0" borderId="55" xfId="0" applyFont="1" applyBorder="1" applyAlignment="1">
      <alignment horizontal="center" shrinkToFit="1"/>
    </xf>
    <xf numFmtId="0" fontId="10" fillId="0" borderId="90" xfId="0" applyFont="1" applyBorder="1" applyAlignment="1">
      <alignment horizontal="center"/>
    </xf>
    <xf numFmtId="0" fontId="10" fillId="0" borderId="55" xfId="0" applyFont="1" applyBorder="1"/>
    <xf numFmtId="0" fontId="2" fillId="0" borderId="55" xfId="0" applyFont="1" applyBorder="1" applyAlignment="1">
      <alignment horizontal="distributed" vertical="top"/>
    </xf>
    <xf numFmtId="0" fontId="28" fillId="0" borderId="47" xfId="0" applyFont="1" applyBorder="1" applyAlignment="1">
      <alignment horizontal="center" vertical="center"/>
    </xf>
    <xf numFmtId="0" fontId="23" fillId="0" borderId="7" xfId="0" applyFont="1" applyBorder="1" applyAlignment="1">
      <alignment horizontal="center"/>
    </xf>
    <xf numFmtId="180" fontId="16" fillId="0" borderId="48" xfId="0" applyNumberFormat="1" applyFont="1" applyBorder="1" applyAlignment="1">
      <alignment horizontal="right"/>
    </xf>
    <xf numFmtId="180" fontId="15" fillId="0" borderId="48" xfId="0" applyNumberFormat="1" applyFont="1" applyBorder="1"/>
    <xf numFmtId="180" fontId="16" fillId="0" borderId="8" xfId="0" applyNumberFormat="1" applyFont="1" applyBorder="1" applyAlignment="1">
      <alignment horizontal="right" vertical="center"/>
    </xf>
    <xf numFmtId="180" fontId="16" fillId="0" borderId="8" xfId="0" applyNumberFormat="1" applyFont="1" applyBorder="1" applyAlignment="1">
      <alignment vertical="center"/>
    </xf>
    <xf numFmtId="180" fontId="23" fillId="0" borderId="49" xfId="0" applyNumberFormat="1" applyFont="1" applyBorder="1" applyAlignment="1">
      <alignment horizontal="right"/>
    </xf>
    <xf numFmtId="180" fontId="23" fillId="0" borderId="9" xfId="0" applyNumberFormat="1" applyFont="1" applyBorder="1" applyAlignment="1">
      <alignment horizontal="right" vertical="center"/>
    </xf>
    <xf numFmtId="0" fontId="0" fillId="0" borderId="11" xfId="0" applyBorder="1" applyAlignment="1">
      <alignment horizontal="left" vertical="center" shrinkToFit="1"/>
    </xf>
    <xf numFmtId="0" fontId="0" fillId="0" borderId="0" xfId="0" applyAlignment="1">
      <alignment horizontal="center"/>
    </xf>
    <xf numFmtId="0" fontId="0" fillId="0" borderId="0" xfId="0" applyAlignment="1">
      <alignment horizontal="left" vertical="top" wrapText="1"/>
    </xf>
    <xf numFmtId="14" fontId="0" fillId="0" borderId="12" xfId="0" applyNumberFormat="1" applyBorder="1" applyAlignment="1">
      <alignment horizontal="center"/>
    </xf>
    <xf numFmtId="0" fontId="0" fillId="0" borderId="0" xfId="0" applyBorder="1" applyAlignment="1">
      <alignment horizontal="right"/>
    </xf>
    <xf numFmtId="0" fontId="23"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25" fillId="2" borderId="0" xfId="0" applyFont="1" applyFill="1" applyBorder="1" applyAlignment="1">
      <alignment horizontal="center" vertical="center" shrinkToFit="1"/>
    </xf>
    <xf numFmtId="0" fontId="41" fillId="0" borderId="0" xfId="0" applyFont="1" applyBorder="1" applyAlignment="1">
      <alignment vertical="top" wrapText="1"/>
    </xf>
    <xf numFmtId="0" fontId="41" fillId="0" borderId="0" xfId="0" applyFont="1" applyBorder="1"/>
    <xf numFmtId="0" fontId="41" fillId="0" borderId="0" xfId="0" applyFont="1" applyBorder="1" applyAlignment="1">
      <alignment vertical="top"/>
    </xf>
    <xf numFmtId="0" fontId="41" fillId="0" borderId="0" xfId="0" applyFont="1" applyBorder="1" applyAlignment="1">
      <alignment vertical="center"/>
    </xf>
    <xf numFmtId="0" fontId="23" fillId="0" borderId="0" xfId="0" applyFont="1" applyBorder="1" applyAlignment="1"/>
    <xf numFmtId="0" fontId="16" fillId="0" borderId="0" xfId="0" applyFont="1" applyFill="1" applyBorder="1" applyAlignment="1">
      <alignment horizontal="left" vertical="center"/>
    </xf>
    <xf numFmtId="178" fontId="16" fillId="0" borderId="0" xfId="0" applyNumberFormat="1" applyFont="1" applyFill="1" applyBorder="1" applyAlignment="1">
      <alignment horizontal="left" vertical="center"/>
    </xf>
    <xf numFmtId="178" fontId="16" fillId="0" borderId="66" xfId="0" applyNumberFormat="1" applyFont="1" applyFill="1" applyBorder="1" applyAlignment="1">
      <alignment horizontal="left" vertical="center"/>
    </xf>
    <xf numFmtId="49" fontId="0" fillId="0" borderId="12" xfId="0" applyNumberFormat="1" applyBorder="1" applyAlignment="1">
      <alignment horizontal="center"/>
    </xf>
    <xf numFmtId="0" fontId="42" fillId="4" borderId="1" xfId="0" applyFont="1" applyFill="1" applyBorder="1"/>
    <xf numFmtId="0" fontId="43" fillId="0" borderId="58" xfId="0" applyFont="1" applyFill="1" applyBorder="1" applyAlignment="1">
      <alignment horizontal="center" vertical="center" shrinkToFit="1"/>
    </xf>
    <xf numFmtId="14" fontId="0" fillId="2" borderId="61" xfId="0" applyNumberFormat="1" applyFill="1" applyBorder="1" applyAlignment="1">
      <alignment horizontal="center" vertical="center"/>
    </xf>
    <xf numFmtId="0" fontId="16" fillId="0" borderId="11" xfId="0" applyFont="1" applyFill="1" applyBorder="1" applyAlignment="1">
      <alignment vertical="center"/>
    </xf>
    <xf numFmtId="180" fontId="16" fillId="0" borderId="60" xfId="0" applyNumberFormat="1" applyFont="1" applyFill="1" applyBorder="1" applyAlignment="1">
      <alignment horizontal="right" vertical="center"/>
    </xf>
    <xf numFmtId="180" fontId="16" fillId="0" borderId="60" xfId="0" applyNumberFormat="1" applyFont="1" applyFill="1" applyBorder="1" applyAlignment="1">
      <alignment vertical="center"/>
    </xf>
    <xf numFmtId="0" fontId="15" fillId="0" borderId="49" xfId="0" applyFont="1" applyBorder="1"/>
    <xf numFmtId="0" fontId="16" fillId="0" borderId="9" xfId="0" applyFont="1" applyBorder="1" applyAlignment="1">
      <alignment vertical="center"/>
    </xf>
    <xf numFmtId="0" fontId="15" fillId="0" borderId="6" xfId="0" applyFont="1" applyBorder="1"/>
    <xf numFmtId="0" fontId="0" fillId="0" borderId="92" xfId="0" applyFont="1" applyBorder="1"/>
    <xf numFmtId="0" fontId="16" fillId="0" borderId="6" xfId="0" applyFont="1" applyBorder="1" applyAlignment="1">
      <alignment vertical="center"/>
    </xf>
    <xf numFmtId="0" fontId="0" fillId="0" borderId="3" xfId="0" applyBorder="1"/>
    <xf numFmtId="0" fontId="16" fillId="0" borderId="59" xfId="0" applyFont="1" applyFill="1" applyBorder="1" applyAlignment="1">
      <alignment vertical="center"/>
    </xf>
    <xf numFmtId="0" fontId="0" fillId="0" borderId="96" xfId="0" applyBorder="1"/>
    <xf numFmtId="0" fontId="0" fillId="0" borderId="96" xfId="0" applyBorder="1" applyAlignment="1">
      <alignment vertical="center"/>
    </xf>
    <xf numFmtId="0" fontId="0" fillId="0" borderId="96" xfId="0" applyBorder="1" applyAlignment="1">
      <alignment vertical="top"/>
    </xf>
    <xf numFmtId="0" fontId="0" fillId="0" borderId="97" xfId="0" applyBorder="1"/>
    <xf numFmtId="0" fontId="35" fillId="0" borderId="96" xfId="0" applyFont="1" applyBorder="1" applyAlignment="1">
      <alignment horizontal="center" vertical="center"/>
    </xf>
    <xf numFmtId="0" fontId="10" fillId="0" borderId="0" xfId="0" applyFont="1" applyAlignment="1">
      <alignment vertical="center"/>
    </xf>
    <xf numFmtId="177" fontId="36" fillId="0" borderId="1" xfId="0" applyNumberFormat="1" applyFont="1" applyFill="1" applyBorder="1"/>
    <xf numFmtId="0" fontId="10" fillId="0" borderId="0" xfId="0" applyFont="1" applyFill="1" applyBorder="1" applyAlignment="1">
      <alignment vertical="top"/>
    </xf>
    <xf numFmtId="178" fontId="23" fillId="0" borderId="0" xfId="0" applyNumberFormat="1" applyFont="1" applyFill="1" applyBorder="1" applyAlignment="1">
      <alignment horizontal="left" vertical="center"/>
    </xf>
    <xf numFmtId="0" fontId="44" fillId="0" borderId="4" xfId="0" applyFont="1" applyBorder="1" applyAlignment="1">
      <alignment horizontal="center" vertical="center"/>
    </xf>
    <xf numFmtId="0" fontId="8" fillId="0" borderId="12" xfId="0" applyFont="1" applyFill="1" applyBorder="1" applyAlignment="1" applyProtection="1">
      <alignment horizontal="center" vertical="center" shrinkToFit="1"/>
    </xf>
    <xf numFmtId="0" fontId="8" fillId="0" borderId="1" xfId="0" applyFont="1" applyFill="1" applyBorder="1" applyAlignment="1">
      <alignment horizontal="left" vertical="center" shrinkToFit="1"/>
    </xf>
    <xf numFmtId="0" fontId="14" fillId="0" borderId="1" xfId="0" applyFont="1" applyFill="1" applyBorder="1" applyAlignment="1">
      <alignment horizontal="left" vertical="center" shrinkToFit="1"/>
    </xf>
    <xf numFmtId="0" fontId="10" fillId="0" borderId="0" xfId="0" applyFont="1" applyBorder="1" applyAlignment="1">
      <alignment horizontal="center" shrinkToFit="1"/>
    </xf>
    <xf numFmtId="0" fontId="15" fillId="0" borderId="11" xfId="0" applyFont="1" applyBorder="1" applyAlignment="1">
      <alignment horizontal="center"/>
    </xf>
    <xf numFmtId="0" fontId="15" fillId="0" borderId="60" xfId="0" applyFont="1" applyBorder="1" applyAlignment="1">
      <alignment horizontal="center"/>
    </xf>
    <xf numFmtId="0" fontId="26" fillId="2" borderId="0" xfId="0" applyFont="1" applyFill="1" applyBorder="1" applyAlignment="1">
      <alignment horizontal="center" vertical="center" shrinkToFit="1"/>
    </xf>
    <xf numFmtId="0" fontId="34" fillId="2" borderId="15" xfId="0" applyFont="1" applyFill="1" applyBorder="1" applyAlignment="1">
      <alignment horizontal="center" vertical="center" shrinkToFit="1"/>
    </xf>
    <xf numFmtId="0" fontId="26" fillId="2" borderId="25" xfId="0" applyFont="1" applyFill="1" applyBorder="1" applyAlignment="1">
      <alignment horizontal="center" vertical="center" shrinkToFit="1"/>
    </xf>
    <xf numFmtId="0" fontId="0" fillId="0" borderId="67" xfId="0" applyBorder="1" applyAlignment="1">
      <alignment horizontal="left" vertical="center" shrinkToFit="1"/>
    </xf>
    <xf numFmtId="0" fontId="0" fillId="0" borderId="20" xfId="0" applyBorder="1" applyAlignment="1">
      <alignment horizontal="left" vertical="center" shrinkToFit="1"/>
    </xf>
    <xf numFmtId="49" fontId="9" fillId="0" borderId="12" xfId="0" quotePrefix="1" applyNumberFormat="1" applyFont="1" applyBorder="1" applyAlignment="1">
      <alignment horizontal="center"/>
    </xf>
    <xf numFmtId="0" fontId="0" fillId="0" borderId="12" xfId="0" applyBorder="1" applyAlignment="1">
      <alignment horizontal="center" shrinkToFit="1"/>
    </xf>
    <xf numFmtId="0" fontId="9" fillId="0" borderId="12" xfId="0" applyFont="1" applyBorder="1" applyAlignment="1">
      <alignment horizontal="center" shrinkToFit="1"/>
    </xf>
    <xf numFmtId="0" fontId="0" fillId="0" borderId="11" xfId="0" applyBorder="1" applyAlignment="1">
      <alignment horizontal="left" vertical="center" shrinkToFit="1"/>
    </xf>
    <xf numFmtId="0" fontId="0" fillId="0" borderId="60" xfId="0" applyBorder="1" applyAlignment="1">
      <alignment horizontal="left" vertical="center" shrinkToFit="1"/>
    </xf>
    <xf numFmtId="0" fontId="0" fillId="0" borderId="11" xfId="0" applyBorder="1" applyAlignment="1">
      <alignment horizontal="left" vertical="center"/>
    </xf>
    <xf numFmtId="0" fontId="0" fillId="0" borderId="60" xfId="0" applyBorder="1" applyAlignment="1">
      <alignment horizontal="left"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75" xfId="0" applyBorder="1" applyAlignment="1">
      <alignment horizontal="lef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0" fillId="0" borderId="2" xfId="0" applyBorder="1" applyAlignment="1">
      <alignment horizontal="left" vertical="center"/>
    </xf>
    <xf numFmtId="0" fontId="0" fillId="0" borderId="3" xfId="0" applyBorder="1" applyAlignment="1">
      <alignment horizontal="left" vertical="center"/>
    </xf>
    <xf numFmtId="0" fontId="0" fillId="0" borderId="70" xfId="0" applyBorder="1" applyAlignment="1">
      <alignment horizontal="left" vertical="center"/>
    </xf>
    <xf numFmtId="0" fontId="0" fillId="0" borderId="11" xfId="0" applyFill="1" applyBorder="1" applyAlignment="1">
      <alignment horizontal="left" vertical="center" shrinkToFit="1"/>
    </xf>
    <xf numFmtId="0" fontId="0" fillId="0" borderId="60" xfId="0" applyFill="1" applyBorder="1" applyAlignment="1">
      <alignment horizontal="left" vertical="center" shrinkToFit="1"/>
    </xf>
    <xf numFmtId="0" fontId="0" fillId="0" borderId="0" xfId="0" applyAlignment="1">
      <alignment horizontal="center"/>
    </xf>
    <xf numFmtId="0" fontId="0" fillId="0" borderId="0" xfId="0" applyAlignment="1">
      <alignment horizontal="left" vertical="top" wrapText="1"/>
    </xf>
    <xf numFmtId="179" fontId="8" fillId="0" borderId="0" xfId="0" applyNumberFormat="1" applyFont="1" applyAlignment="1">
      <alignment horizontal="right" vertical="top"/>
    </xf>
    <xf numFmtId="0" fontId="0" fillId="2" borderId="11" xfId="0" applyFill="1" applyBorder="1" applyAlignment="1">
      <alignment horizontal="left" vertical="center"/>
    </xf>
    <xf numFmtId="0" fontId="0" fillId="2" borderId="60" xfId="0" applyFill="1" applyBorder="1" applyAlignment="1">
      <alignment horizontal="left" vertical="center"/>
    </xf>
    <xf numFmtId="14" fontId="0" fillId="0" borderId="12" xfId="0" applyNumberFormat="1" applyBorder="1" applyAlignment="1">
      <alignment horizontal="center"/>
    </xf>
    <xf numFmtId="0" fontId="18" fillId="0" borderId="0" xfId="0" applyFont="1" applyBorder="1" applyAlignment="1">
      <alignment horizontal="center" vertical="top"/>
    </xf>
    <xf numFmtId="0" fontId="10" fillId="0" borderId="12" xfId="0" applyFont="1" applyBorder="1" applyAlignment="1">
      <alignment horizontal="center" vertical="center"/>
    </xf>
    <xf numFmtId="49" fontId="0" fillId="0" borderId="12" xfId="0" applyNumberFormat="1" applyBorder="1" applyAlignment="1">
      <alignment horizontal="center"/>
    </xf>
    <xf numFmtId="0" fontId="9" fillId="0" borderId="93" xfId="0" applyFont="1" applyBorder="1" applyAlignment="1">
      <alignment horizontal="center" shrinkToFit="1"/>
    </xf>
    <xf numFmtId="0" fontId="10" fillId="0" borderId="91" xfId="0" applyFont="1" applyBorder="1" applyAlignment="1">
      <alignment horizontal="center" shrinkToFit="1"/>
    </xf>
    <xf numFmtId="0" fontId="0" fillId="0" borderId="0" xfId="0" applyBorder="1" applyAlignment="1">
      <alignment horizontal="right"/>
    </xf>
    <xf numFmtId="0" fontId="0" fillId="0" borderId="0" xfId="0" applyFill="1" applyBorder="1" applyAlignment="1">
      <alignment horizontal="right"/>
    </xf>
    <xf numFmtId="0" fontId="0" fillId="0" borderId="93" xfId="0" applyBorder="1" applyAlignment="1">
      <alignment horizontal="right" shrinkToFit="1"/>
    </xf>
    <xf numFmtId="0" fontId="0" fillId="0" borderId="7" xfId="0" applyBorder="1" applyAlignment="1">
      <alignment horizontal="left" vertical="center"/>
    </xf>
    <xf numFmtId="0" fontId="0" fillId="0" borderId="8" xfId="0" applyBorder="1" applyAlignment="1">
      <alignment horizontal="left" vertical="center"/>
    </xf>
    <xf numFmtId="179" fontId="8" fillId="0" borderId="0" xfId="0" applyNumberFormat="1" applyFont="1" applyBorder="1" applyAlignment="1">
      <alignment horizontal="right" vertical="top"/>
    </xf>
    <xf numFmtId="179" fontId="8" fillId="0" borderId="96" xfId="0" applyNumberFormat="1" applyFont="1" applyBorder="1" applyAlignment="1">
      <alignment horizontal="right" vertical="top"/>
    </xf>
    <xf numFmtId="0" fontId="0" fillId="0" borderId="11" xfId="0" applyFill="1" applyBorder="1" applyAlignment="1">
      <alignment horizontal="left" vertical="center"/>
    </xf>
    <xf numFmtId="0" fontId="0" fillId="0" borderId="60" xfId="0" applyFill="1" applyBorder="1" applyAlignment="1">
      <alignment horizontal="left" vertical="center"/>
    </xf>
    <xf numFmtId="0" fontId="9" fillId="0" borderId="0" xfId="0" applyFont="1" applyBorder="1" applyAlignment="1">
      <alignment horizontal="center"/>
    </xf>
    <xf numFmtId="0" fontId="41" fillId="0" borderId="0" xfId="0" applyFont="1" applyBorder="1" applyAlignment="1">
      <alignment horizontal="left" vertical="top" wrapText="1"/>
    </xf>
    <xf numFmtId="0" fontId="23" fillId="0" borderId="52" xfId="0" applyFont="1" applyBorder="1" applyAlignment="1">
      <alignment horizontal="center"/>
    </xf>
    <xf numFmtId="0" fontId="23" fillId="0" borderId="53" xfId="0" applyFont="1" applyBorder="1" applyAlignment="1">
      <alignment horizontal="center"/>
    </xf>
    <xf numFmtId="0" fontId="23" fillId="0" borderId="54" xfId="0" applyFont="1" applyBorder="1" applyAlignment="1">
      <alignment horizontal="center"/>
    </xf>
    <xf numFmtId="0" fontId="21" fillId="0" borderId="5" xfId="0" applyFont="1" applyBorder="1" applyAlignment="1">
      <alignment horizontal="left" vertical="top" wrapText="1"/>
    </xf>
    <xf numFmtId="0" fontId="21" fillId="0" borderId="0" xfId="0" applyFont="1" applyBorder="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21" fillId="0" borderId="5" xfId="0" applyFont="1" applyBorder="1" applyAlignment="1">
      <alignment horizontal="left" vertical="top"/>
    </xf>
    <xf numFmtId="0" fontId="9" fillId="0" borderId="0" xfId="0" applyFont="1" applyAlignment="1">
      <alignment horizontal="center"/>
    </xf>
    <xf numFmtId="0" fontId="9" fillId="0" borderId="0" xfId="0" applyFont="1" applyBorder="1" applyAlignment="1">
      <alignment horizontal="right"/>
    </xf>
    <xf numFmtId="0" fontId="9" fillId="0" borderId="0" xfId="0" applyFont="1" applyAlignment="1">
      <alignment horizontal="left" vertical="top" wrapText="1"/>
    </xf>
    <xf numFmtId="0" fontId="9" fillId="0" borderId="0" xfId="0" applyFont="1" applyBorder="1" applyAlignment="1">
      <alignment horizontal="right" shrinkToFit="1"/>
    </xf>
    <xf numFmtId="0" fontId="9" fillId="0" borderId="0" xfId="0" applyFont="1" applyFill="1" applyBorder="1" applyAlignment="1">
      <alignment horizontal="right"/>
    </xf>
    <xf numFmtId="0" fontId="16" fillId="0" borderId="52" xfId="0" applyFont="1" applyBorder="1" applyAlignment="1">
      <alignment horizontal="center"/>
    </xf>
    <xf numFmtId="0" fontId="16" fillId="0" borderId="53" xfId="0" applyFont="1" applyBorder="1" applyAlignment="1">
      <alignment horizontal="center"/>
    </xf>
    <xf numFmtId="0" fontId="16" fillId="0" borderId="54" xfId="0" applyFont="1" applyBorder="1" applyAlignment="1">
      <alignment horizontal="center"/>
    </xf>
    <xf numFmtId="0" fontId="0" fillId="0" borderId="46" xfId="0" applyBorder="1" applyAlignment="1">
      <alignment horizontal="right" shrinkToFit="1"/>
    </xf>
    <xf numFmtId="0" fontId="20" fillId="0" borderId="5" xfId="0" applyFont="1" applyBorder="1" applyAlignment="1">
      <alignment horizontal="left" vertical="top" wrapText="1"/>
    </xf>
    <xf numFmtId="0" fontId="20" fillId="0" borderId="0" xfId="0" applyFont="1" applyBorder="1" applyAlignment="1">
      <alignment horizontal="left" vertical="top" wrapText="1"/>
    </xf>
  </cellXfs>
  <cellStyles count="1">
    <cellStyle name="標準" xfId="0" builtinId="0"/>
  </cellStyles>
  <dxfs count="93">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border>
        <bottom style="hair">
          <color auto="1"/>
        </bottom>
        <vertical/>
        <horizontal/>
      </border>
    </dxf>
    <dxf>
      <font>
        <color theme="0"/>
      </font>
      <border>
        <bottom style="hair">
          <color auto="1"/>
        </bottom>
        <vertical/>
        <horizontal/>
      </border>
    </dxf>
    <dxf>
      <border>
        <left style="hair">
          <color auto="1"/>
        </left>
        <vertical/>
        <horizontal/>
      </border>
    </dxf>
    <dxf>
      <font>
        <color theme="0"/>
      </font>
      <border>
        <left/>
        <right/>
        <top/>
        <bottom/>
        <vertical/>
        <horizontal/>
      </border>
    </dxf>
    <dxf>
      <font>
        <color theme="0"/>
      </font>
      <border>
        <left/>
        <right/>
        <top/>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border>
        <bottom/>
        <vertical/>
        <horizontal/>
      </border>
    </dxf>
    <dxf>
      <font>
        <b/>
        <i val="0"/>
        <color auto="1"/>
      </font>
    </dxf>
    <dxf>
      <border>
        <left style="dotted">
          <color auto="1"/>
        </left>
        <vertical/>
        <horizontal/>
      </border>
    </dxf>
    <dxf>
      <border>
        <bottom style="dotted">
          <color auto="1"/>
        </bottom>
        <vertical/>
        <horizontal/>
      </border>
    </dxf>
    <dxf>
      <border>
        <right style="dotted">
          <color auto="1"/>
        </right>
        <vertical/>
        <horizontal/>
      </border>
    </dxf>
    <dxf>
      <border>
        <left/>
        <right/>
        <top style="dotted">
          <color auto="1"/>
        </top>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u val="none"/>
      </font>
      <border>
        <bottom style="thin">
          <color auto="1"/>
        </bottom>
      </border>
    </dxf>
    <dxf>
      <font>
        <color theme="0"/>
      </font>
      <border>
        <bottom style="hair">
          <color auto="1"/>
        </bottom>
        <vertical/>
        <horizontal/>
      </border>
    </dxf>
    <dxf>
      <font>
        <color theme="0"/>
      </font>
      <border>
        <bottom style="hair">
          <color auto="1"/>
        </bottom>
        <vertical/>
        <horizontal/>
      </border>
    </dxf>
    <dxf>
      <border>
        <left style="hair">
          <color auto="1"/>
        </left>
        <vertical/>
        <horizontal/>
      </border>
    </dxf>
    <dxf>
      <font>
        <color theme="0"/>
      </font>
      <border>
        <left/>
        <right/>
        <top/>
        <bottom/>
        <vertical/>
        <horizontal/>
      </border>
    </dxf>
    <dxf>
      <font>
        <color theme="0"/>
      </font>
      <border>
        <left/>
        <right/>
        <top/>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border>
        <bottom/>
        <vertical/>
        <horizontal/>
      </border>
    </dxf>
    <dxf>
      <font>
        <b/>
        <i val="0"/>
        <color auto="1"/>
      </font>
    </dxf>
    <dxf>
      <border>
        <left style="dotted">
          <color auto="1"/>
        </left>
        <vertical/>
        <horizontal/>
      </border>
    </dxf>
    <dxf>
      <border>
        <bottom style="dotted">
          <color auto="1"/>
        </bottom>
        <vertical/>
        <horizontal/>
      </border>
    </dxf>
    <dxf>
      <border>
        <right style="dotted">
          <color auto="1"/>
        </right>
        <vertical/>
        <horizontal/>
      </border>
    </dxf>
    <dxf>
      <border>
        <left/>
        <right/>
        <top style="dotted">
          <color auto="1"/>
        </top>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295275</xdr:colOff>
      <xdr:row>5</xdr:row>
      <xdr:rowOff>53973</xdr:rowOff>
    </xdr:from>
    <xdr:to>
      <xdr:col>24</xdr:col>
      <xdr:colOff>171450</xdr:colOff>
      <xdr:row>28</xdr:row>
      <xdr:rowOff>136526</xdr:rowOff>
    </xdr:to>
    <xdr:sp macro="" textlink="">
      <xdr:nvSpPr>
        <xdr:cNvPr id="5" name="正方形/長方形 4"/>
        <xdr:cNvSpPr/>
      </xdr:nvSpPr>
      <xdr:spPr>
        <a:xfrm>
          <a:off x="6689725" y="746123"/>
          <a:ext cx="4143375" cy="30670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海外居住者のための収入等申告書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a:p>
          <a:pPr algn="l"/>
          <a:r>
            <a:rPr kumimoji="1" lang="ja-JP" altLang="en-US" sz="1100">
              <a:solidFill>
                <a:sysClr val="windowText" lastClr="000000"/>
              </a:solidFill>
            </a:rPr>
            <a:t>　なお、別のシート（ウインドウ下部オレンジ色のタブ）に記入例や注意点をまとめていますので、参考にしてください。</a:t>
          </a:r>
          <a:endParaRPr kumimoji="1" lang="en-US" altLang="ja-JP" sz="1100">
            <a:solidFill>
              <a:sysClr val="windowText" lastClr="000000"/>
            </a:solidFill>
          </a:endParaRPr>
        </a:p>
      </xdr:txBody>
    </xdr:sp>
    <xdr:clientData/>
  </xdr:twoCellAnchor>
  <xdr:twoCellAnchor editAs="oneCell">
    <xdr:from>
      <xdr:col>17</xdr:col>
      <xdr:colOff>333375</xdr:colOff>
      <xdr:row>18</xdr:row>
      <xdr:rowOff>150255</xdr:rowOff>
    </xdr:from>
    <xdr:to>
      <xdr:col>24</xdr:col>
      <xdr:colOff>84801</xdr:colOff>
      <xdr:row>20</xdr:row>
      <xdr:rowOff>15533</xdr:rowOff>
    </xdr:to>
    <xdr:pic>
      <xdr:nvPicPr>
        <xdr:cNvPr id="4" name="図 3"/>
        <xdr:cNvPicPr>
          <a:picLocks noChangeAspect="1"/>
        </xdr:cNvPicPr>
      </xdr:nvPicPr>
      <xdr:blipFill>
        <a:blip xmlns:r="http://schemas.openxmlformats.org/officeDocument/2006/relationships" r:embed="rId1"/>
        <a:stretch>
          <a:fillRect/>
        </a:stretch>
      </xdr:blipFill>
      <xdr:spPr>
        <a:xfrm>
          <a:off x="6727825" y="2264805"/>
          <a:ext cx="4018626" cy="195478"/>
        </a:xfrm>
        <a:prstGeom prst="rect">
          <a:avLst/>
        </a:prstGeom>
      </xdr:spPr>
    </xdr:pic>
    <xdr:clientData/>
  </xdr:twoCellAnchor>
  <xdr:twoCellAnchor>
    <xdr:from>
      <xdr:col>22</xdr:col>
      <xdr:colOff>342900</xdr:colOff>
      <xdr:row>18</xdr:row>
      <xdr:rowOff>79375</xdr:rowOff>
    </xdr:from>
    <xdr:to>
      <xdr:col>23</xdr:col>
      <xdr:colOff>552450</xdr:colOff>
      <xdr:row>20</xdr:row>
      <xdr:rowOff>3175</xdr:rowOff>
    </xdr:to>
    <xdr:sp macro="" textlink="">
      <xdr:nvSpPr>
        <xdr:cNvPr id="6" name="円/楕円 5"/>
        <xdr:cNvSpPr/>
      </xdr:nvSpPr>
      <xdr:spPr>
        <a:xfrm>
          <a:off x="9785350" y="2193925"/>
          <a:ext cx="819150" cy="2540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17</xdr:col>
      <xdr:colOff>330200</xdr:colOff>
      <xdr:row>21</xdr:row>
      <xdr:rowOff>15567</xdr:rowOff>
    </xdr:from>
    <xdr:to>
      <xdr:col>24</xdr:col>
      <xdr:colOff>133350</xdr:colOff>
      <xdr:row>21</xdr:row>
      <xdr:rowOff>146048</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2504767"/>
          <a:ext cx="4070350" cy="130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82549</xdr:colOff>
      <xdr:row>20</xdr:row>
      <xdr:rowOff>25400</xdr:rowOff>
    </xdr:from>
    <xdr:to>
      <xdr:col>24</xdr:col>
      <xdr:colOff>161924</xdr:colOff>
      <xdr:row>21</xdr:row>
      <xdr:rowOff>165100</xdr:rowOff>
    </xdr:to>
    <xdr:sp macro="" textlink="">
      <xdr:nvSpPr>
        <xdr:cNvPr id="8" name="円/楕円 7"/>
        <xdr:cNvSpPr/>
      </xdr:nvSpPr>
      <xdr:spPr>
        <a:xfrm>
          <a:off x="10134599" y="2470150"/>
          <a:ext cx="688975" cy="1841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3" name="円/楕円 2"/>
        <xdr:cNvSpPr/>
      </xdr:nvSpPr>
      <xdr:spPr>
        <a:xfrm>
          <a:off x="4265080" y="8032751"/>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4" name="円/楕円 3"/>
        <xdr:cNvSpPr/>
      </xdr:nvSpPr>
      <xdr:spPr>
        <a:xfrm>
          <a:off x="4269318" y="833331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T019\Desktop\20200325\&#28023;&#22806;&#23621;&#20303;&#32773;&#12398;&#12383;&#12417;&#12398;&#21454;&#20837;&#31561;&#30003;&#21578;&#26360;_20200106_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前年レート"/>
      <sheetName val="海外居住者のための収入等申告書"/>
      <sheetName val="記入例"/>
      <sheetName val="当年レート"/>
      <sheetName val="T11所得区分"/>
      <sheetName val="T12給与所得"/>
      <sheetName val="T13人的控除"/>
      <sheetName val="T15調整控除"/>
      <sheetName val="T16税率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6"/>
  <sheetViews>
    <sheetView tabSelected="1" view="pageBreakPreview" zoomScaleNormal="100" zoomScaleSheetLayoutView="100" workbookViewId="0">
      <selection activeCell="L10" sqref="L10:N10"/>
    </sheetView>
  </sheetViews>
  <sheetFormatPr defaultRowHeight="13.5"/>
  <cols>
    <col min="1" max="1" width="3.125" customWidth="1"/>
    <col min="2" max="4" width="9.125" customWidth="1"/>
    <col min="5" max="5" width="0.625" customWidth="1"/>
    <col min="6" max="6" width="13.25" customWidth="1"/>
    <col min="7" max="7" width="4.5" customWidth="1"/>
    <col min="8" max="8" width="7.125" customWidth="1"/>
    <col min="9" max="9" width="2.875" customWidth="1"/>
    <col min="10" max="10" width="2.625" customWidth="1"/>
    <col min="11" max="11" width="2" customWidth="1"/>
    <col min="12" max="12" width="12" customWidth="1"/>
    <col min="13" max="13" width="4.5" customWidth="1"/>
    <col min="14" max="14" width="7.125" customWidth="1"/>
    <col min="15" max="15" width="2.875" customWidth="1"/>
    <col min="16" max="16" width="0.625" customWidth="1"/>
    <col min="17" max="17" width="2.875" customWidth="1"/>
  </cols>
  <sheetData>
    <row r="1" spans="1:17">
      <c r="A1" s="573" t="s">
        <v>380</v>
      </c>
      <c r="B1" s="573"/>
      <c r="C1" s="573"/>
      <c r="D1" s="573"/>
      <c r="E1" s="573"/>
      <c r="F1" s="573"/>
      <c r="G1" s="573"/>
      <c r="H1" s="573"/>
      <c r="I1" s="573"/>
      <c r="J1" s="573"/>
      <c r="K1" s="573"/>
      <c r="L1" s="573"/>
      <c r="M1" s="573"/>
      <c r="N1" s="573"/>
      <c r="O1" s="573"/>
    </row>
    <row r="2" spans="1:17" ht="6" customHeight="1">
      <c r="A2" s="74"/>
      <c r="B2" s="74"/>
      <c r="C2" s="405"/>
      <c r="D2" s="405"/>
      <c r="E2" s="405"/>
      <c r="F2" s="405"/>
      <c r="G2" s="74"/>
      <c r="H2" s="405"/>
      <c r="I2" s="74"/>
      <c r="J2" s="74"/>
      <c r="K2" s="74"/>
      <c r="L2" s="74"/>
      <c r="M2" s="405"/>
      <c r="N2" s="405"/>
      <c r="O2" s="575">
        <f>MAX(修正履歴!A:A)</f>
        <v>45737</v>
      </c>
      <c r="P2" s="575"/>
      <c r="Q2" s="575"/>
    </row>
    <row r="3" spans="1:17">
      <c r="A3" s="87" t="s">
        <v>297</v>
      </c>
      <c r="G3" s="74"/>
      <c r="H3" s="405"/>
      <c r="I3" s="74"/>
      <c r="J3" s="74"/>
      <c r="K3" s="74"/>
      <c r="L3" s="74"/>
      <c r="M3" s="405"/>
      <c r="N3" s="405"/>
      <c r="O3" s="575"/>
      <c r="P3" s="575"/>
      <c r="Q3" s="575"/>
    </row>
    <row r="4" spans="1:17" ht="6" customHeight="1">
      <c r="A4" s="74"/>
      <c r="B4" s="87"/>
      <c r="C4" s="87"/>
      <c r="D4" s="87"/>
      <c r="E4" s="87"/>
      <c r="F4" s="87"/>
      <c r="G4" s="74"/>
      <c r="H4" s="405"/>
      <c r="I4" s="74"/>
      <c r="J4" s="74"/>
      <c r="K4" s="74"/>
      <c r="L4" s="74"/>
      <c r="M4" s="405"/>
      <c r="N4" s="405"/>
      <c r="O4" s="74"/>
    </row>
    <row r="5" spans="1:17">
      <c r="A5" s="74"/>
      <c r="B5" s="574" t="str">
        <f>"　以下の"&amp;IF(VLOOKUP(L10,計算シート!F15:G22,2,0)=4,"奨学生の適格認定（家計）","者の申込等")&amp;"に際して、収入・所得等を提出すべき者のうちに１月１日時点で日本国外に居住している者がいるため、その収入・所得等の情報を申告します。"</f>
        <v>　以下の者の申込等に際して、収入・所得等を提出すべき者のうちに１月１日時点で日本国外に居住している者がいるため、その収入・所得等の情報を申告します。</v>
      </c>
      <c r="C5" s="574"/>
      <c r="D5" s="574"/>
      <c r="E5" s="574"/>
      <c r="F5" s="574"/>
      <c r="G5" s="574"/>
      <c r="H5" s="574"/>
      <c r="I5" s="574"/>
      <c r="J5" s="574"/>
      <c r="K5" s="574"/>
      <c r="L5" s="574"/>
      <c r="M5" s="574"/>
      <c r="N5" s="574"/>
      <c r="O5" s="574"/>
    </row>
    <row r="6" spans="1:17">
      <c r="A6" s="74"/>
      <c r="B6" s="574"/>
      <c r="C6" s="574"/>
      <c r="D6" s="574"/>
      <c r="E6" s="574"/>
      <c r="F6" s="574"/>
      <c r="G6" s="574"/>
      <c r="H6" s="574"/>
      <c r="I6" s="574"/>
      <c r="J6" s="574"/>
      <c r="K6" s="574"/>
      <c r="L6" s="574"/>
      <c r="M6" s="574"/>
      <c r="N6" s="574"/>
      <c r="O6" s="574"/>
    </row>
    <row r="7" spans="1:17" ht="5.25" customHeight="1">
      <c r="A7" s="74"/>
      <c r="B7" s="74"/>
      <c r="C7" s="405"/>
      <c r="D7" s="405"/>
      <c r="E7" s="405"/>
      <c r="F7" s="405"/>
      <c r="G7" s="74"/>
      <c r="H7" s="405"/>
      <c r="I7" s="57"/>
      <c r="J7" s="164"/>
      <c r="K7" s="57"/>
      <c r="L7" s="166"/>
      <c r="M7" s="166"/>
      <c r="N7" s="166"/>
      <c r="O7" s="165"/>
    </row>
    <row r="8" spans="1:17" ht="14.25" thickBot="1">
      <c r="A8" s="199"/>
      <c r="B8" s="199"/>
      <c r="C8" s="405"/>
      <c r="D8" s="405"/>
      <c r="E8" s="405"/>
      <c r="F8" s="405"/>
      <c r="G8" s="199"/>
      <c r="H8" s="584" t="s">
        <v>386</v>
      </c>
      <c r="I8" s="584"/>
      <c r="J8" s="584"/>
      <c r="K8" s="584"/>
      <c r="L8" s="578"/>
      <c r="M8" s="578"/>
      <c r="N8" s="578"/>
      <c r="O8" s="165"/>
    </row>
    <row r="9" spans="1:17" ht="9.9499999999999993" customHeight="1">
      <c r="A9" s="199"/>
      <c r="B9" s="199"/>
      <c r="C9" s="405"/>
      <c r="D9" s="405"/>
      <c r="E9" s="405"/>
      <c r="F9" s="405"/>
      <c r="G9" s="199"/>
      <c r="H9" s="405"/>
      <c r="I9" s="57"/>
      <c r="J9" s="57"/>
      <c r="K9" s="57"/>
      <c r="L9" s="579" t="s">
        <v>941</v>
      </c>
      <c r="M9" s="579"/>
      <c r="N9" s="579"/>
      <c r="O9" s="165"/>
    </row>
    <row r="10" spans="1:17" ht="14.25" thickBot="1">
      <c r="A10" s="204"/>
      <c r="C10" s="209" t="s">
        <v>620</v>
      </c>
      <c r="D10" s="217">
        <v>2025</v>
      </c>
      <c r="E10" s="409"/>
      <c r="F10" s="209"/>
      <c r="H10" s="585" t="s">
        <v>396</v>
      </c>
      <c r="I10" s="585"/>
      <c r="J10" s="585"/>
      <c r="K10" s="585"/>
      <c r="L10" s="545" t="s">
        <v>925</v>
      </c>
      <c r="M10" s="545"/>
      <c r="N10" s="545"/>
      <c r="O10" s="165"/>
    </row>
    <row r="11" spans="1:17" ht="14.25" thickBot="1">
      <c r="A11" s="163"/>
      <c r="C11" s="187" t="str">
        <f>IF(VLOOKUP(L10,計算シート!F15:G22,2,0)=4,"奨学生番号","申込受付番号")</f>
        <v>申込受付番号</v>
      </c>
      <c r="D11" s="556"/>
      <c r="E11" s="556"/>
      <c r="F11" s="556"/>
      <c r="G11" s="405" t="s">
        <v>940</v>
      </c>
      <c r="H11" s="521"/>
      <c r="I11" s="165" t="s">
        <v>940</v>
      </c>
      <c r="J11" s="581"/>
      <c r="K11" s="581"/>
      <c r="L11" s="581"/>
      <c r="M11" s="581"/>
      <c r="N11" s="581"/>
      <c r="O11" s="165"/>
    </row>
    <row r="12" spans="1:17" ht="2.25" customHeight="1">
      <c r="A12" s="405"/>
      <c r="B12" s="139"/>
      <c r="C12" s="471"/>
      <c r="D12" s="472"/>
      <c r="E12" s="472"/>
      <c r="F12" s="472"/>
      <c r="G12" s="473"/>
      <c r="H12" s="474"/>
      <c r="I12" s="473"/>
      <c r="J12" s="475"/>
      <c r="K12" s="475"/>
      <c r="L12" s="475"/>
      <c r="M12" s="475"/>
      <c r="N12" s="473"/>
      <c r="O12" s="165"/>
    </row>
    <row r="13" spans="1:17" ht="14.25" thickBot="1">
      <c r="B13" s="478"/>
      <c r="C13" s="477" t="str">
        <f>IF(VLOOKUP(L10,計算シート!F15:G22,2,0)=4,"奨学生","申込者")&amp;"本人氏名"</f>
        <v>申込者本人氏名</v>
      </c>
      <c r="D13" s="557"/>
      <c r="E13" s="557"/>
      <c r="F13" s="557"/>
      <c r="G13" s="586" t="str">
        <f>IF(計算シート!C67=0,"本人生年月日","")</f>
        <v/>
      </c>
      <c r="H13" s="586"/>
      <c r="I13" s="578"/>
      <c r="J13" s="578"/>
      <c r="K13" s="578"/>
      <c r="L13" s="578"/>
      <c r="M13" s="470" t="str">
        <f>IF(計算シート!C67=0,"（ yyyy / mm / dd ）","")</f>
        <v/>
      </c>
      <c r="N13" s="476"/>
    </row>
    <row r="14" spans="1:17" ht="2.1" customHeight="1">
      <c r="B14" s="139"/>
      <c r="C14" s="471"/>
      <c r="D14" s="480"/>
      <c r="E14" s="480"/>
      <c r="F14" s="480"/>
      <c r="G14" s="481"/>
      <c r="H14" s="481"/>
      <c r="I14" s="482"/>
      <c r="J14" s="482"/>
      <c r="K14" s="483"/>
      <c r="L14" s="483"/>
      <c r="M14" s="484"/>
      <c r="N14" s="483"/>
    </row>
    <row r="15" spans="1:17" ht="14.25" thickBot="1">
      <c r="A15" s="479"/>
      <c r="B15" s="478"/>
      <c r="C15" s="477" t="str">
        <f>IF(計算シート!C67=0,"生計維持者１","配偶者")&amp;"の氏名"</f>
        <v>配偶者の氏名</v>
      </c>
      <c r="D15" s="557"/>
      <c r="E15" s="557"/>
      <c r="F15" s="557"/>
      <c r="G15" s="582" t="str">
        <f>IF(計算シート!C67=0,"本人との続柄","")</f>
        <v/>
      </c>
      <c r="H15" s="582"/>
      <c r="I15" s="558" t="s">
        <v>1065</v>
      </c>
      <c r="J15" s="558"/>
      <c r="K15" s="490"/>
      <c r="L15" s="490"/>
      <c r="M15" s="491"/>
      <c r="N15" s="492"/>
    </row>
    <row r="16" spans="1:17" ht="2.1" customHeight="1">
      <c r="B16" s="139"/>
      <c r="C16" s="471"/>
      <c r="D16" s="480"/>
      <c r="E16" s="480"/>
      <c r="F16" s="480"/>
      <c r="G16" s="493"/>
      <c r="H16" s="493"/>
      <c r="I16" s="494"/>
      <c r="J16" s="494"/>
      <c r="K16" s="495"/>
      <c r="L16" s="495"/>
      <c r="M16" s="496"/>
      <c r="N16" s="496"/>
    </row>
    <row r="17" spans="1:14" ht="14.25" thickBot="1">
      <c r="A17" s="479"/>
      <c r="B17" s="478"/>
      <c r="C17" s="477" t="str">
        <f>IF(AND(計算シート!C67=0,NOT(OR(F36="いいえ",I15="祖父",I15="祖母",I15="その他"))),"生計維持者２"&amp;"の氏名","")</f>
        <v/>
      </c>
      <c r="D17" s="558"/>
      <c r="E17" s="558"/>
      <c r="F17" s="558"/>
      <c r="G17" s="548" t="str">
        <f>IF(AND(計算シート!C67=0,NOT(OR(F36="いいえ",I15="祖父",I15="祖母",I15="その他"))),"本人との続柄","")</f>
        <v/>
      </c>
      <c r="H17" s="548"/>
      <c r="I17" s="580" t="s">
        <v>1066</v>
      </c>
      <c r="J17" s="580"/>
      <c r="K17" s="582" t="str">
        <f>IF(AND(計算シート!C67=0,NOT(OR(F36="いいえ",I15="祖父",I15="祖母",I15="その他"))),IF(OR(AND(I15="父",I17="父"),AND(I15="母",I17="母")),"生計維持者１と２の続柄が同じです","※生計維持者２がいない場合、氏名は入力しないでください"),"")</f>
        <v/>
      </c>
      <c r="L17" s="582"/>
      <c r="M17" s="582"/>
      <c r="N17" s="583"/>
    </row>
    <row r="18" spans="1:14" ht="2.1" customHeight="1">
      <c r="C18" s="406"/>
      <c r="D18" s="449"/>
      <c r="E18" s="449"/>
      <c r="F18" s="449"/>
      <c r="G18" s="485"/>
      <c r="H18" s="485"/>
      <c r="I18" s="450"/>
      <c r="J18" s="450"/>
      <c r="L18" s="469"/>
      <c r="M18" s="469"/>
      <c r="N18" s="202"/>
    </row>
    <row r="19" spans="1:14">
      <c r="B19" s="213" t="str">
        <f>"※ 以下、収入（所得）は【"&amp;YEAR(計算シート!C46)-1&amp;"年1月1日～12月31日】のものを入力してください。"</f>
        <v>※ 以下、収入（所得）は【2024年1月1日～12月31日】のものを入力してください。</v>
      </c>
      <c r="C19" s="213"/>
      <c r="D19" s="213"/>
      <c r="E19" s="213"/>
      <c r="F19" s="213"/>
      <c r="G19" s="207"/>
      <c r="H19" s="207"/>
      <c r="I19" s="206"/>
      <c r="J19" s="206"/>
      <c r="K19" s="206"/>
      <c r="L19" s="202"/>
      <c r="M19" s="202"/>
      <c r="N19" s="202"/>
    </row>
    <row r="20" spans="1:14">
      <c r="B20" s="213" t="str">
        <f>"    扶養等の情報は【"&amp;YEAR(計算シート!C46)-1&amp;"年12月31日】現在のものを入力してください。"</f>
        <v xml:space="preserve">    扶養等の情報は【2024年12月31日】現在のものを入力してください。</v>
      </c>
      <c r="C20" s="213"/>
      <c r="D20" s="213"/>
      <c r="E20" s="213"/>
      <c r="F20" s="213"/>
      <c r="G20" s="207"/>
      <c r="H20" s="207"/>
      <c r="I20" s="206"/>
      <c r="J20" s="206"/>
      <c r="K20" s="206"/>
      <c r="L20" s="202"/>
      <c r="M20" s="202"/>
      <c r="N20" s="202"/>
    </row>
    <row r="21" spans="1:14" ht="3.75" customHeight="1" thickBot="1">
      <c r="A21" s="80"/>
      <c r="B21" s="80"/>
      <c r="C21" s="80"/>
      <c r="D21" s="80"/>
      <c r="E21" s="80"/>
      <c r="F21" s="80"/>
      <c r="G21" s="80"/>
      <c r="H21" s="57"/>
      <c r="I21" s="57"/>
      <c r="L21" s="57"/>
      <c r="M21" s="57"/>
      <c r="N21" s="57"/>
    </row>
    <row r="22" spans="1:14" s="98" customFormat="1" ht="15.6" customHeight="1" thickTop="1">
      <c r="A22" s="86" t="str">
        <f>IF(計算シート!C67=0,"奨学生本人情報","※大学院申込の場合、この欄は入力不要です")</f>
        <v>※大学院申込の場合、この欄は入力不要です</v>
      </c>
      <c r="B22" s="96"/>
      <c r="C22" s="96"/>
      <c r="D22" s="96"/>
      <c r="E22" s="96"/>
      <c r="F22" s="96"/>
      <c r="G22" s="97"/>
      <c r="H22" s="456"/>
      <c r="I22" s="83" t="s">
        <v>373</v>
      </c>
      <c r="J22" s="189"/>
      <c r="K22" s="189"/>
      <c r="L22" s="189"/>
      <c r="M22" s="189"/>
      <c r="N22" s="97"/>
    </row>
    <row r="23" spans="1:14" s="98" customFormat="1" ht="12.95" customHeight="1" thickBot="1">
      <c r="A23" s="170" t="s">
        <v>316</v>
      </c>
      <c r="B23" s="576" t="str">
        <f>IF(計算シート!C67=0,"生年月日（yyyy/mm/dd）","")</f>
        <v/>
      </c>
      <c r="C23" s="577"/>
      <c r="D23" s="577"/>
      <c r="E23" s="365"/>
      <c r="F23" s="524" t="str">
        <f>IF(I13="","",I13)</f>
        <v/>
      </c>
      <c r="G23" s="102"/>
      <c r="I23" s="191" t="s">
        <v>374</v>
      </c>
      <c r="J23" s="75"/>
      <c r="K23" s="75"/>
      <c r="L23" s="75"/>
      <c r="M23" s="75"/>
      <c r="N23" s="102"/>
    </row>
    <row r="24" spans="1:14" s="98" customFormat="1" ht="12.95" customHeight="1" thickBot="1">
      <c r="A24" s="171" t="s">
        <v>317</v>
      </c>
      <c r="B24" s="571" t="str">
        <f>IF(計算シート!C67=0,"どちらの生計維持者に扶養されていますか","")</f>
        <v/>
      </c>
      <c r="C24" s="572"/>
      <c r="D24" s="572"/>
      <c r="F24" s="73" t="s">
        <v>38</v>
      </c>
      <c r="G24" s="102"/>
      <c r="I24" s="191" t="s">
        <v>375</v>
      </c>
      <c r="J24" s="75"/>
      <c r="K24" s="75"/>
      <c r="L24" s="75"/>
      <c r="M24" s="75"/>
      <c r="N24" s="102"/>
    </row>
    <row r="25" spans="1:14" s="98" customFormat="1" ht="12.95" customHeight="1" thickBot="1">
      <c r="A25" s="171" t="s">
        <v>318</v>
      </c>
      <c r="B25" s="587" t="str">
        <f>IF(計算シート!C67=0,"障がい者に該当していますか","")</f>
        <v/>
      </c>
      <c r="C25" s="588"/>
      <c r="D25" s="588"/>
      <c r="E25" s="103"/>
      <c r="F25" s="90" t="s">
        <v>44</v>
      </c>
      <c r="G25" s="102"/>
      <c r="I25" s="191" t="s">
        <v>376</v>
      </c>
      <c r="J25" s="75"/>
      <c r="K25" s="75"/>
      <c r="L25" s="75"/>
      <c r="M25" s="75"/>
      <c r="N25" s="102"/>
    </row>
    <row r="26" spans="1:14" s="98" customFormat="1" ht="12.95" customHeight="1" thickBot="1">
      <c r="A26" s="171" t="s">
        <v>319</v>
      </c>
      <c r="B26" s="559" t="str">
        <f>IF(計算シート!C67=0,"　生計維持者と同居していますか","")</f>
        <v/>
      </c>
      <c r="C26" s="560"/>
      <c r="D26" s="560"/>
      <c r="E26" s="103"/>
      <c r="F26" s="73" t="s">
        <v>40</v>
      </c>
      <c r="G26" s="102"/>
      <c r="I26" s="455">
        <v>1</v>
      </c>
      <c r="J26" s="546" t="s">
        <v>377</v>
      </c>
      <c r="K26" s="547"/>
      <c r="L26" s="547"/>
      <c r="M26" s="547"/>
      <c r="N26" s="523" t="s">
        <v>621</v>
      </c>
    </row>
    <row r="27" spans="1:14" s="98" customFormat="1" ht="12.95" customHeight="1" thickBot="1">
      <c r="A27" s="171" t="s">
        <v>320</v>
      </c>
      <c r="B27" s="559" t="str">
        <f>IF(計算シート!C67=0,"奨学生本人に収入（所得）がありますか","")</f>
        <v/>
      </c>
      <c r="C27" s="560"/>
      <c r="D27" s="560"/>
      <c r="E27" s="99"/>
      <c r="F27" s="58" t="s">
        <v>42</v>
      </c>
      <c r="G27" s="102"/>
      <c r="I27" s="455">
        <v>2</v>
      </c>
      <c r="J27" s="547" t="s">
        <v>384</v>
      </c>
      <c r="K27" s="547"/>
      <c r="L27" s="547"/>
      <c r="M27" s="547"/>
      <c r="N27" s="523" t="str">
        <f>IF(F36="はい","○","")</f>
        <v>○</v>
      </c>
    </row>
    <row r="28" spans="1:14" s="98" customFormat="1" ht="12.95" customHeight="1" thickBot="1">
      <c r="A28" s="171" t="s">
        <v>321</v>
      </c>
      <c r="B28" s="559" t="str">
        <f>IF(計算シート!C67=0,"　給与収入金額の通貨","")</f>
        <v/>
      </c>
      <c r="C28" s="560"/>
      <c r="D28" s="560"/>
      <c r="E28" s="99"/>
      <c r="F28" s="73" t="s">
        <v>49</v>
      </c>
      <c r="G28" s="102"/>
      <c r="I28" s="455">
        <v>3</v>
      </c>
      <c r="J28" s="546" t="s">
        <v>383</v>
      </c>
      <c r="K28" s="547"/>
      <c r="L28" s="547"/>
      <c r="M28" s="547"/>
      <c r="N28" s="523" t="str">
        <f>IF(SUM(F51:F59,L51:L59)&gt;0,"○","")</f>
        <v/>
      </c>
    </row>
    <row r="29" spans="1:14" s="98" customFormat="1" ht="12.95" customHeight="1" thickBot="1">
      <c r="A29" s="171" t="s">
        <v>322</v>
      </c>
      <c r="B29" s="559" t="str">
        <f>IF(計算シート!C67=0,"　　給与収入金額","")</f>
        <v/>
      </c>
      <c r="C29" s="560"/>
      <c r="D29" s="560"/>
      <c r="F29" s="200">
        <v>0</v>
      </c>
      <c r="G29" s="100" t="str">
        <f>MID(F28,SEARCH("(",F28)+1,3)</f>
        <v>JPY</v>
      </c>
      <c r="I29" s="455">
        <v>4</v>
      </c>
      <c r="J29" s="546" t="str">
        <f>IF(計算シート!C67=0,"生計維持者が１人のみであることを証するもの","ひとり親世帯に関するもの")</f>
        <v>ひとり親世帯に関するもの</v>
      </c>
      <c r="K29" s="547"/>
      <c r="L29" s="547"/>
      <c r="M29" s="547"/>
      <c r="N29" s="523" t="str">
        <f>IF(OR(AND(計算シート!C67=0,F36="いいえ"),AND(計算シート!C67=1,F40="ひとり親である")),"○","")</f>
        <v/>
      </c>
    </row>
    <row r="30" spans="1:14" s="98" customFormat="1" ht="12.95" customHeight="1" thickBot="1">
      <c r="A30" s="171" t="s">
        <v>323</v>
      </c>
      <c r="B30" s="571" t="str">
        <f>IF(計算シート!C67=0,"　給与・年金以外の所得の通貨","")</f>
        <v/>
      </c>
      <c r="C30" s="572"/>
      <c r="D30" s="572"/>
      <c r="E30" s="99"/>
      <c r="F30" s="73" t="s">
        <v>49</v>
      </c>
      <c r="G30" s="102"/>
      <c r="I30" s="455">
        <v>5</v>
      </c>
      <c r="J30" s="546" t="s">
        <v>381</v>
      </c>
      <c r="K30" s="547"/>
      <c r="L30" s="547"/>
      <c r="M30" s="547"/>
      <c r="N30" s="523" t="str">
        <f>IF(OR(F25="障がい者である",F25="特別の障がい者である",F39="障がい者である",F39="特別の障がい者である",L39="障がい者である",L39="特別の障がい者である",SUM(F57:F59,L57:L59)&gt;0),"○","")</f>
        <v/>
      </c>
    </row>
    <row r="31" spans="1:14" s="98" customFormat="1" ht="12.95" customHeight="1" thickBot="1">
      <c r="A31" s="172" t="s">
        <v>324</v>
      </c>
      <c r="B31" s="554" t="str">
        <f>IF(計算シート!C67=0,"　　給与・年金以外の所得の金額","")</f>
        <v/>
      </c>
      <c r="C31" s="555"/>
      <c r="D31" s="555"/>
      <c r="E31" s="107"/>
      <c r="F31" s="200">
        <v>0</v>
      </c>
      <c r="G31" s="108" t="str">
        <f>MID(F30,SEARCH("(",F30)+1,3)</f>
        <v>JPY</v>
      </c>
      <c r="I31" s="190"/>
      <c r="J31" s="117"/>
      <c r="K31" s="117"/>
      <c r="L31" s="117"/>
      <c r="M31" s="117"/>
      <c r="N31" s="127"/>
    </row>
    <row r="32" spans="1:14" s="98" customFormat="1" ht="3" customHeight="1" thickTop="1"/>
    <row r="33" spans="1:18" s="98" customFormat="1" ht="14.1" customHeight="1" thickBot="1">
      <c r="A33" s="78"/>
      <c r="B33" s="78"/>
      <c r="C33" s="78"/>
      <c r="D33" s="78"/>
      <c r="E33" s="79"/>
      <c r="F33" s="109" t="str">
        <f>IF(計算シート!C67=0,"生計維持者１","申込者本人")</f>
        <v>申込者本人</v>
      </c>
      <c r="G33" s="111"/>
      <c r="H33" s="109"/>
      <c r="I33" s="110"/>
      <c r="J33" s="78"/>
      <c r="K33" s="79"/>
      <c r="L33" s="125" t="str">
        <f>IF(計算シート!C67=0,IF(AND(F36="はい",OR(I15="その他",I15="祖父",I15="祖母")),"生計維持者１の配偶者",IF(AND(F36="はい",OR(AND(I15="父",I17="母"),AND(I15="母",I17="父"))),"生計維持者２","")),IF(F36="はい","申込者本人の配偶者",""))</f>
        <v>申込者本人の配偶者</v>
      </c>
      <c r="M33" s="279" t="str">
        <f>IF(L33="","","★")</f>
        <v>★</v>
      </c>
      <c r="N33" s="440"/>
      <c r="O33" s="441"/>
      <c r="P33" s="112"/>
    </row>
    <row r="34" spans="1:18" s="98" customFormat="1" ht="15.6" customHeight="1" thickTop="1" thickBot="1">
      <c r="A34" s="83" t="str">
        <f>IF(計算シート!C67=0,"生計維持者","申込者本人")&amp;"の基本情報"</f>
        <v>申込者本人の基本情報</v>
      </c>
      <c r="B34" s="428"/>
      <c r="C34" s="428"/>
      <c r="D34" s="428"/>
      <c r="E34" s="429"/>
      <c r="F34" s="75"/>
      <c r="G34" s="75"/>
      <c r="H34" s="75"/>
      <c r="I34" s="113"/>
      <c r="J34" s="75"/>
      <c r="K34" s="76"/>
      <c r="L34" s="126" t="str">
        <f>IF(OR(L33="生計維持者１の配偶者",L33="申込者本人の配偶者"),"(配偶者の基本情報）","")</f>
        <v>(配偶者の基本情報）</v>
      </c>
      <c r="M34" s="97"/>
      <c r="N34" s="510" t="str">
        <f>IF(M33="★","★の者が1/1時","")</f>
        <v>★の者が1/1時</v>
      </c>
      <c r="P34" s="114"/>
    </row>
    <row r="35" spans="1:18" s="98" customFormat="1" ht="12.95" customHeight="1" thickBot="1">
      <c r="A35" s="173" t="s">
        <v>325</v>
      </c>
      <c r="B35" s="571" t="s">
        <v>406</v>
      </c>
      <c r="C35" s="572"/>
      <c r="D35" s="572"/>
      <c r="E35" s="430"/>
      <c r="F35" s="214"/>
      <c r="G35" s="75"/>
      <c r="H35" s="421"/>
      <c r="I35" s="113"/>
      <c r="J35" s="176" t="s">
        <v>330</v>
      </c>
      <c r="K35" s="76"/>
      <c r="L35" s="214"/>
      <c r="M35" s="102"/>
      <c r="N35" s="510" t="str">
        <f>IF(M33="★","点で日本国内に","")</f>
        <v>点で日本国内に</v>
      </c>
      <c r="P35" s="114"/>
    </row>
    <row r="36" spans="1:18" s="98" customFormat="1" ht="12.95" customHeight="1" thickBot="1">
      <c r="A36" s="174" t="s">
        <v>326</v>
      </c>
      <c r="B36" s="559" t="str">
        <f>IF(計算シート!C67=0,"","申込者本人に")&amp;"配偶者はいますか"</f>
        <v>申込者本人に配偶者はいますか</v>
      </c>
      <c r="C36" s="560"/>
      <c r="D36" s="560"/>
      <c r="E36" s="430"/>
      <c r="F36" s="58" t="s">
        <v>40</v>
      </c>
      <c r="G36" s="75"/>
      <c r="H36" s="115"/>
      <c r="I36" s="113"/>
      <c r="J36" s="177"/>
      <c r="K36" s="76"/>
      <c r="L36" s="115"/>
      <c r="M36" s="102"/>
      <c r="N36" s="510" t="str">
        <f>IF(M33="★","居住していた場","")</f>
        <v>居住していた場</v>
      </c>
      <c r="P36" s="114"/>
    </row>
    <row r="37" spans="1:18" s="98" customFormat="1" ht="12.95" hidden="1" customHeight="1" thickBot="1">
      <c r="A37" s="174" t="s">
        <v>327</v>
      </c>
      <c r="B37" s="559" t="str">
        <f>IF(計算シート!C67=0,"　配偶者は生計維持者２ですか","")</f>
        <v/>
      </c>
      <c r="C37" s="560"/>
      <c r="D37" s="560"/>
      <c r="E37" s="430"/>
      <c r="F37" s="58" t="str">
        <f>IF(AND(I15&lt;&gt;"その他",F36="はい"),"はい","いいえ")</f>
        <v>はい</v>
      </c>
      <c r="G37" s="75"/>
      <c r="H37" s="115"/>
      <c r="I37" s="113"/>
      <c r="J37" s="177"/>
      <c r="K37" s="76"/>
      <c r="L37" s="115"/>
      <c r="M37" s="102"/>
      <c r="N37" s="511"/>
      <c r="P37" s="114"/>
      <c r="R37" s="98" t="s">
        <v>1069</v>
      </c>
    </row>
    <row r="38" spans="1:18" s="98" customFormat="1" ht="12.95" customHeight="1" thickBot="1">
      <c r="A38" s="174" t="s">
        <v>327</v>
      </c>
      <c r="B38" s="559" t="str">
        <f>IF(AND(OR(I15&lt;&gt;"その他",I15&lt;&gt;"祖父",I15&lt;&gt;"祖母"),F36="はい"),"　生計維持者２","　配偶者")&amp;"と同居していますか"</f>
        <v>　生計維持者２と同居していますか</v>
      </c>
      <c r="C38" s="560"/>
      <c r="D38" s="565"/>
      <c r="E38" s="63"/>
      <c r="F38" s="58" t="s">
        <v>42</v>
      </c>
      <c r="G38" s="75"/>
      <c r="H38" s="115"/>
      <c r="I38" s="113"/>
      <c r="J38" s="177"/>
      <c r="K38" s="76"/>
      <c r="L38" s="75"/>
      <c r="M38" s="102"/>
      <c r="N38" s="510" t="str">
        <f>IF(M33="★","合でも入力して","")</f>
        <v>合でも入力して</v>
      </c>
      <c r="P38" s="114"/>
    </row>
    <row r="39" spans="1:18" s="98" customFormat="1" ht="12.95" customHeight="1" thickBot="1">
      <c r="A39" s="174" t="s">
        <v>328</v>
      </c>
      <c r="B39" s="566" t="str">
        <f>"障がい者に該当していますか"</f>
        <v>障がい者に該当していますか</v>
      </c>
      <c r="C39" s="567"/>
      <c r="D39" s="567"/>
      <c r="E39" s="431"/>
      <c r="F39" s="90" t="s">
        <v>44</v>
      </c>
      <c r="G39" s="75"/>
      <c r="H39" s="422"/>
      <c r="I39" s="113"/>
      <c r="J39" s="178" t="s">
        <v>331</v>
      </c>
      <c r="K39" s="439"/>
      <c r="L39" s="90" t="s">
        <v>44</v>
      </c>
      <c r="M39" s="102"/>
      <c r="N39" s="510" t="str">
        <f>IF(M33="★","ください。","")</f>
        <v>ください。</v>
      </c>
      <c r="P39" s="114"/>
    </row>
    <row r="40" spans="1:18" s="98" customFormat="1" ht="12.95" customHeight="1" thickBot="1">
      <c r="A40" s="175" t="s">
        <v>329</v>
      </c>
      <c r="B40" s="554" t="str">
        <f>IF(計算シート!C67=0,"","申込者本人は")&amp;"ひとり親ですか"</f>
        <v>申込者本人はひとり親ですか</v>
      </c>
      <c r="C40" s="555"/>
      <c r="D40" s="555"/>
      <c r="E40" s="82"/>
      <c r="F40" s="59" t="s">
        <v>929</v>
      </c>
      <c r="G40" s="423"/>
      <c r="H40" s="424"/>
      <c r="I40" s="419"/>
      <c r="J40" s="179"/>
      <c r="K40" s="122"/>
      <c r="L40" s="128"/>
      <c r="M40" s="127"/>
      <c r="N40" s="510"/>
      <c r="P40" s="114"/>
    </row>
    <row r="41" spans="1:18" s="146" customFormat="1" ht="3" customHeight="1" thickTop="1" thickBot="1">
      <c r="A41" s="140"/>
      <c r="B41" s="141"/>
      <c r="C41" s="141"/>
      <c r="D41" s="141"/>
      <c r="E41" s="142"/>
      <c r="F41" s="141"/>
      <c r="G41" s="141"/>
      <c r="H41" s="141"/>
      <c r="I41" s="143"/>
      <c r="J41" s="168"/>
      <c r="K41" s="142"/>
      <c r="L41" s="144"/>
      <c r="M41" s="141"/>
      <c r="N41" s="542"/>
      <c r="O41" s="442"/>
      <c r="P41" s="145"/>
    </row>
    <row r="42" spans="1:18" s="98" customFormat="1" ht="15.6" customHeight="1" thickTop="1" thickBot="1">
      <c r="A42" s="83" t="str">
        <f>IF(計算シート!C67=0,"生計維持者の","")&amp;"収入・所得の情報"</f>
        <v>収入・所得の情報</v>
      </c>
      <c r="B42" s="428"/>
      <c r="C42" s="428"/>
      <c r="D42" s="428"/>
      <c r="E42" s="429"/>
      <c r="F42" s="75"/>
      <c r="G42" s="75"/>
      <c r="H42" s="75"/>
      <c r="I42" s="113"/>
      <c r="J42" s="167"/>
      <c r="K42" s="76"/>
      <c r="L42" s="126" t="str">
        <f>IF(L33="生計維持者１の配偶者","(配偶者の収入・所得の情報）","")</f>
        <v/>
      </c>
      <c r="M42" s="97"/>
      <c r="N42" s="510" t="str">
        <f>IF(M33="★","扶養の情報は、","")</f>
        <v>扶養の情報は、</v>
      </c>
      <c r="P42" s="114"/>
    </row>
    <row r="43" spans="1:18" s="98" customFormat="1" ht="12.95" customHeight="1" thickBot="1">
      <c r="A43" s="173" t="s">
        <v>332</v>
      </c>
      <c r="B43" s="568" t="s">
        <v>272</v>
      </c>
      <c r="C43" s="569"/>
      <c r="D43" s="570"/>
      <c r="E43" s="62"/>
      <c r="F43" s="73" t="s">
        <v>785</v>
      </c>
      <c r="G43" s="75"/>
      <c r="H43" s="425"/>
      <c r="I43" s="113"/>
      <c r="J43" s="176" t="s">
        <v>338</v>
      </c>
      <c r="K43" s="76"/>
      <c r="L43" s="73" t="s">
        <v>49</v>
      </c>
      <c r="M43" s="102"/>
      <c r="N43" s="510" t="str">
        <f>IF(M33="★","1/1時点で日本","")</f>
        <v>1/1時点で日本</v>
      </c>
      <c r="P43" s="114"/>
    </row>
    <row r="44" spans="1:18" s="98" customFormat="1" ht="12.95" customHeight="1" thickBot="1">
      <c r="A44" s="174" t="s">
        <v>333</v>
      </c>
      <c r="B44" s="561" t="s">
        <v>274</v>
      </c>
      <c r="C44" s="562"/>
      <c r="D44" s="562"/>
      <c r="E44" s="430"/>
      <c r="F44" s="200">
        <v>0</v>
      </c>
      <c r="G44" s="407" t="str">
        <f>MID(F43,SEARCH("(",F43)+1,3)</f>
        <v>USD</v>
      </c>
      <c r="H44" s="426"/>
      <c r="I44" s="113"/>
      <c r="J44" s="178" t="s">
        <v>339</v>
      </c>
      <c r="K44" s="76"/>
      <c r="L44" s="200">
        <v>0</v>
      </c>
      <c r="M44" s="100" t="str">
        <f>MID(L43,SEARCH("(",L43)+1,3)</f>
        <v>JPY</v>
      </c>
      <c r="N44" s="543" t="str">
        <f>IF(M33="★","国内に居住して","")</f>
        <v>国内に居住して</v>
      </c>
      <c r="P44" s="114"/>
    </row>
    <row r="45" spans="1:18" s="98" customFormat="1" ht="12.95" customHeight="1" thickBot="1">
      <c r="A45" s="174" t="s">
        <v>334</v>
      </c>
      <c r="B45" s="561" t="s">
        <v>273</v>
      </c>
      <c r="C45" s="562"/>
      <c r="D45" s="562"/>
      <c r="E45" s="430"/>
      <c r="F45" s="73" t="s">
        <v>785</v>
      </c>
      <c r="G45" s="75"/>
      <c r="H45" s="425"/>
      <c r="I45" s="113"/>
      <c r="J45" s="178" t="s">
        <v>340</v>
      </c>
      <c r="K45" s="76"/>
      <c r="L45" s="73" t="s">
        <v>49</v>
      </c>
      <c r="M45" s="102"/>
      <c r="N45" s="543" t="str">
        <f>IF(M33="★","いた者は課税証","")</f>
        <v>いた者は課税証</v>
      </c>
      <c r="P45" s="114"/>
    </row>
    <row r="46" spans="1:18" s="98" customFormat="1" ht="12.95" customHeight="1" thickBot="1">
      <c r="A46" s="174" t="s">
        <v>335</v>
      </c>
      <c r="B46" s="563" t="s">
        <v>275</v>
      </c>
      <c r="C46" s="564"/>
      <c r="D46" s="564"/>
      <c r="E46" s="62"/>
      <c r="F46" s="200">
        <v>0</v>
      </c>
      <c r="G46" s="407" t="str">
        <f>MID(F45,SEARCH("(",F45)+1,3)</f>
        <v>USD</v>
      </c>
      <c r="H46" s="426"/>
      <c r="I46" s="113"/>
      <c r="J46" s="178" t="s">
        <v>341</v>
      </c>
      <c r="K46" s="76"/>
      <c r="L46" s="200">
        <v>0</v>
      </c>
      <c r="M46" s="120" t="str">
        <f>MID(L45,SEARCH("(",L45)+1,3)</f>
        <v>JPY</v>
      </c>
      <c r="N46" s="543" t="str">
        <f>IF(M33="★","明書の扶養親族","")</f>
        <v>明書の扶養親族</v>
      </c>
      <c r="P46" s="114"/>
    </row>
    <row r="47" spans="1:18" s="98" customFormat="1" ht="12.95" customHeight="1" thickBot="1">
      <c r="A47" s="174" t="s">
        <v>336</v>
      </c>
      <c r="B47" s="148" t="s">
        <v>303</v>
      </c>
      <c r="C47" s="369"/>
      <c r="D47" s="369"/>
      <c r="E47" s="433"/>
      <c r="F47" s="73" t="s">
        <v>785</v>
      </c>
      <c r="G47" s="75"/>
      <c r="H47" s="425"/>
      <c r="I47" s="113"/>
      <c r="J47" s="178" t="s">
        <v>342</v>
      </c>
      <c r="K47" s="76"/>
      <c r="L47" s="73" t="s">
        <v>49</v>
      </c>
      <c r="M47" s="121"/>
      <c r="N47" s="543" t="str">
        <f>IF(M33="★","の数を入力して","")</f>
        <v>の数を入力して</v>
      </c>
      <c r="P47" s="114"/>
    </row>
    <row r="48" spans="1:18" s="98" customFormat="1" ht="12.95" customHeight="1" thickBot="1">
      <c r="A48" s="175" t="s">
        <v>337</v>
      </c>
      <c r="B48" s="432" t="s">
        <v>304</v>
      </c>
      <c r="C48" s="436"/>
      <c r="D48" s="437"/>
      <c r="E48" s="438"/>
      <c r="F48" s="200">
        <v>0</v>
      </c>
      <c r="G48" s="417" t="str">
        <f>MID(F47,SEARCH("(",F47)+1,3)</f>
        <v>USD</v>
      </c>
      <c r="H48" s="427"/>
      <c r="I48" s="419"/>
      <c r="J48" s="180" t="s">
        <v>343</v>
      </c>
      <c r="K48" s="118"/>
      <c r="L48" s="200">
        <v>0</v>
      </c>
      <c r="M48" s="108" t="str">
        <f>MID(L47,SEARCH("(",L47)+1,3)</f>
        <v>JPY</v>
      </c>
      <c r="N48" s="543" t="str">
        <f>IF(M33="★","ください(下欄)。","")</f>
        <v>ください(下欄)。</v>
      </c>
      <c r="P48" s="114"/>
    </row>
    <row r="49" spans="1:16" s="98" customFormat="1" ht="3" customHeight="1" thickTop="1" thickBot="1">
      <c r="A49" s="169"/>
      <c r="B49" s="78"/>
      <c r="C49" s="78"/>
      <c r="D49" s="78"/>
      <c r="E49" s="84"/>
      <c r="F49" s="78"/>
      <c r="G49" s="119"/>
      <c r="H49" s="78"/>
      <c r="I49" s="119"/>
      <c r="J49" s="169"/>
      <c r="K49" s="84"/>
      <c r="L49" s="78"/>
      <c r="M49" s="78"/>
      <c r="N49" s="78"/>
      <c r="O49" s="78"/>
      <c r="P49" s="114"/>
    </row>
    <row r="50" spans="1:16" s="98" customFormat="1" ht="15.6" customHeight="1" thickTop="1" thickBot="1">
      <c r="A50" s="410" t="str">
        <f>IF(計算シート!C67=0,"生計維持者の","")&amp;"扶養の情報（本人や他の生計維持者、配偶者は含めないでください）"</f>
        <v>扶養の情報（本人や他の生計維持者、配偶者は含めないでください）</v>
      </c>
      <c r="B50" s="434"/>
      <c r="C50" s="434"/>
      <c r="D50" s="434"/>
      <c r="E50" s="434"/>
      <c r="F50" s="411"/>
      <c r="G50" s="113"/>
      <c r="H50" s="413"/>
      <c r="I50" s="113"/>
      <c r="J50" s="167"/>
      <c r="K50" s="76"/>
      <c r="L50" s="126" t="str">
        <f>IF(L33="生計維持者１の配偶者","(配偶者の扶養の情報）","")</f>
        <v/>
      </c>
      <c r="M50" s="189"/>
      <c r="N50" s="126"/>
      <c r="O50" s="97"/>
      <c r="P50" s="114"/>
    </row>
    <row r="51" spans="1:16" s="98" customFormat="1" ht="12.95" customHeight="1" thickBot="1">
      <c r="A51" s="174" t="s">
        <v>344</v>
      </c>
      <c r="B51" s="559" t="s">
        <v>0</v>
      </c>
      <c r="C51" s="560"/>
      <c r="D51" s="560"/>
      <c r="E51" s="430"/>
      <c r="F51" s="58">
        <v>0</v>
      </c>
      <c r="G51" s="412" t="s">
        <v>48</v>
      </c>
      <c r="H51" s="486" t="str">
        <f>"うち"&amp;IF(計算シート!C67=0,"生計維","申込者")</f>
        <v>うち申込者</v>
      </c>
      <c r="I51" s="113"/>
      <c r="J51" s="176" t="s">
        <v>353</v>
      </c>
      <c r="K51" s="76"/>
      <c r="L51" s="58">
        <v>0</v>
      </c>
      <c r="M51" s="412" t="s">
        <v>48</v>
      </c>
      <c r="N51" s="544" t="str">
        <f>"うち★の"</f>
        <v>うち★の</v>
      </c>
      <c r="O51" s="102"/>
      <c r="P51" s="114"/>
    </row>
    <row r="52" spans="1:16" s="98" customFormat="1" ht="12.95" customHeight="1" thickBot="1">
      <c r="A52" s="174" t="s">
        <v>345</v>
      </c>
      <c r="B52" s="559" t="s">
        <v>1</v>
      </c>
      <c r="C52" s="560"/>
      <c r="D52" s="560"/>
      <c r="E52" s="430"/>
      <c r="F52" s="58">
        <v>0</v>
      </c>
      <c r="G52" s="412" t="s">
        <v>48</v>
      </c>
      <c r="H52" s="487" t="str">
        <f>IF(計算シート!C67=0,"持者１より","本人より")</f>
        <v>本人より</v>
      </c>
      <c r="I52" s="113"/>
      <c r="J52" s="178" t="s">
        <v>354</v>
      </c>
      <c r="K52" s="76"/>
      <c r="L52" s="58">
        <v>0</v>
      </c>
      <c r="M52" s="412" t="s">
        <v>48</v>
      </c>
      <c r="N52" s="445" t="str">
        <f>"者より"</f>
        <v>者より</v>
      </c>
      <c r="O52" s="102"/>
      <c r="P52" s="114"/>
    </row>
    <row r="53" spans="1:16" s="98" customFormat="1" ht="12.95" customHeight="1" thickBot="1">
      <c r="A53" s="174" t="s">
        <v>346</v>
      </c>
      <c r="B53" s="559" t="s">
        <v>2</v>
      </c>
      <c r="C53" s="560"/>
      <c r="D53" s="560"/>
      <c r="E53" s="430"/>
      <c r="F53" s="58">
        <v>0</v>
      </c>
      <c r="G53" s="412" t="s">
        <v>48</v>
      </c>
      <c r="H53" s="487" t="s">
        <v>937</v>
      </c>
      <c r="I53" s="113"/>
      <c r="J53" s="178" t="s">
        <v>355</v>
      </c>
      <c r="K53" s="76"/>
      <c r="L53" s="58">
        <v>0</v>
      </c>
      <c r="M53" s="446" t="s">
        <v>48</v>
      </c>
      <c r="N53" s="445" t="s">
        <v>937</v>
      </c>
      <c r="O53" s="102"/>
      <c r="P53" s="114"/>
    </row>
    <row r="54" spans="1:16" s="98" customFormat="1" ht="12.95" customHeight="1" thickBot="1">
      <c r="A54" s="174" t="s">
        <v>347</v>
      </c>
      <c r="B54" s="559" t="s">
        <v>3</v>
      </c>
      <c r="C54" s="560"/>
      <c r="D54" s="560"/>
      <c r="E54" s="430"/>
      <c r="F54" s="58">
        <v>0</v>
      </c>
      <c r="G54" s="416" t="s">
        <v>48</v>
      </c>
      <c r="H54" s="58">
        <v>0</v>
      </c>
      <c r="I54" s="414" t="s">
        <v>48</v>
      </c>
      <c r="J54" s="178" t="s">
        <v>356</v>
      </c>
      <c r="K54" s="76"/>
      <c r="L54" s="58">
        <v>0</v>
      </c>
      <c r="M54" s="447" t="s">
        <v>48</v>
      </c>
      <c r="N54" s="58">
        <v>0</v>
      </c>
      <c r="O54" s="448" t="s">
        <v>48</v>
      </c>
      <c r="P54" s="114"/>
    </row>
    <row r="55" spans="1:16" s="98" customFormat="1" ht="12.95" customHeight="1" thickBot="1">
      <c r="A55" s="174" t="s">
        <v>348</v>
      </c>
      <c r="B55" s="559" t="s">
        <v>4</v>
      </c>
      <c r="C55" s="560"/>
      <c r="D55" s="560"/>
      <c r="E55" s="430"/>
      <c r="F55" s="58">
        <v>0</v>
      </c>
      <c r="G55" s="416" t="s">
        <v>48</v>
      </c>
      <c r="H55" s="551" t="s">
        <v>1082</v>
      </c>
      <c r="I55" s="552"/>
      <c r="J55" s="178" t="s">
        <v>357</v>
      </c>
      <c r="K55" s="76"/>
      <c r="L55" s="58">
        <v>0</v>
      </c>
      <c r="M55" s="407" t="s">
        <v>48</v>
      </c>
      <c r="N55" s="551" t="str">
        <f>IF(F36="はい","(項番41の内数)","")</f>
        <v>(項番41の内数)</v>
      </c>
      <c r="O55" s="553"/>
      <c r="P55" s="114"/>
    </row>
    <row r="56" spans="1:16" s="98" customFormat="1" ht="12.95" customHeight="1" thickBot="1">
      <c r="A56" s="174" t="s">
        <v>349</v>
      </c>
      <c r="B56" s="559" t="s">
        <v>5</v>
      </c>
      <c r="C56" s="560"/>
      <c r="D56" s="560"/>
      <c r="E56" s="430"/>
      <c r="F56" s="58">
        <v>0</v>
      </c>
      <c r="G56" s="418" t="s">
        <v>48</v>
      </c>
      <c r="H56" s="115"/>
      <c r="I56" s="113"/>
      <c r="J56" s="178" t="s">
        <v>358</v>
      </c>
      <c r="K56" s="76"/>
      <c r="L56" s="58">
        <v>0</v>
      </c>
      <c r="M56" s="407" t="s">
        <v>48</v>
      </c>
      <c r="N56" s="115"/>
      <c r="O56" s="102"/>
      <c r="P56" s="114"/>
    </row>
    <row r="57" spans="1:16" s="98" customFormat="1" ht="12.95" customHeight="1" thickBot="1">
      <c r="A57" s="174" t="s">
        <v>350</v>
      </c>
      <c r="B57" s="559" t="s">
        <v>299</v>
      </c>
      <c r="C57" s="560"/>
      <c r="D57" s="560"/>
      <c r="E57" s="430"/>
      <c r="F57" s="58">
        <v>0</v>
      </c>
      <c r="G57" s="418" t="s">
        <v>48</v>
      </c>
      <c r="H57" s="115"/>
      <c r="I57" s="113"/>
      <c r="J57" s="178" t="s">
        <v>359</v>
      </c>
      <c r="K57" s="76"/>
      <c r="L57" s="58">
        <v>0</v>
      </c>
      <c r="M57" s="407" t="s">
        <v>48</v>
      </c>
      <c r="N57" s="115"/>
      <c r="O57" s="102"/>
      <c r="P57" s="114"/>
    </row>
    <row r="58" spans="1:16" s="98" customFormat="1" ht="12.95" customHeight="1" thickBot="1">
      <c r="A58" s="174" t="s">
        <v>351</v>
      </c>
      <c r="B58" s="559" t="s">
        <v>300</v>
      </c>
      <c r="C58" s="560"/>
      <c r="D58" s="560"/>
      <c r="E58" s="435"/>
      <c r="F58" s="58">
        <v>0</v>
      </c>
      <c r="G58" s="418" t="s">
        <v>48</v>
      </c>
      <c r="H58" s="115"/>
      <c r="I58" s="113"/>
      <c r="J58" s="178" t="s">
        <v>360</v>
      </c>
      <c r="K58" s="76"/>
      <c r="L58" s="58">
        <v>0</v>
      </c>
      <c r="M58" s="407" t="s">
        <v>48</v>
      </c>
      <c r="N58" s="115"/>
      <c r="O58" s="102"/>
      <c r="P58" s="114"/>
    </row>
    <row r="59" spans="1:16" s="98" customFormat="1" ht="12.95" customHeight="1" thickBot="1">
      <c r="A59" s="175" t="s">
        <v>352</v>
      </c>
      <c r="B59" s="554" t="s">
        <v>301</v>
      </c>
      <c r="C59" s="555"/>
      <c r="D59" s="555"/>
      <c r="E59" s="82"/>
      <c r="F59" s="58">
        <v>0</v>
      </c>
      <c r="G59" s="417" t="s">
        <v>48</v>
      </c>
      <c r="H59" s="420"/>
      <c r="I59" s="419"/>
      <c r="J59" s="181" t="s">
        <v>361</v>
      </c>
      <c r="K59" s="118"/>
      <c r="L59" s="58">
        <v>0</v>
      </c>
      <c r="M59" s="417" t="s">
        <v>48</v>
      </c>
      <c r="N59" s="420"/>
      <c r="O59" s="127"/>
      <c r="P59" s="114"/>
    </row>
    <row r="60" spans="1:16" ht="3" customHeight="1" thickTop="1">
      <c r="E60" s="65"/>
      <c r="F60" s="66"/>
      <c r="G60" s="67"/>
      <c r="H60" s="66"/>
      <c r="I60" s="67"/>
      <c r="K60" s="65"/>
      <c r="L60" s="68"/>
      <c r="M60" s="68"/>
      <c r="N60" s="68"/>
      <c r="O60" s="68"/>
      <c r="P60" s="67"/>
    </row>
    <row r="61" spans="1:16" ht="3.75" customHeight="1"/>
    <row r="62" spans="1:16">
      <c r="B62" t="s">
        <v>307</v>
      </c>
    </row>
    <row r="63" spans="1:16">
      <c r="B63" s="94" t="str">
        <f>"１　"&amp;IF(計算シート!C67=0,"全ての生計維持者","本人及び配偶者")&amp;"の情報を入力したうえで印刷し、収入等の証明書類（和訳付）を添付してください。国内外を問わず扶養親族がいる場合、"</f>
        <v>１　本人及び配偶者の情報を入力したうえで印刷し、収入等の証明書類（和訳付）を添付してください。国内外を問わず扶養親族がいる場合、</v>
      </c>
      <c r="C63" s="94"/>
      <c r="D63" s="94"/>
      <c r="E63" s="94"/>
      <c r="F63" s="94"/>
    </row>
    <row r="64" spans="1:16">
      <c r="B64" s="95" t="str">
        <f>"　"&amp;IF(計算シート!C67=0,"生計維持","扶養")&amp;"者との関係を明らかにする書類も必要です。国内に居住している"&amp;IF(計算シート!C67=0,"生計維持者","本人又は配偶者")&amp;"については、マイナンバーを提出してください。"</f>
        <v>　扶養者との関係を明らかにする書類も必要です。国内に居住している本人又は配偶者については、マイナンバーを提出してください。</v>
      </c>
      <c r="C64" s="95"/>
      <c r="D64" s="95"/>
      <c r="E64" s="95"/>
      <c r="F64" s="95"/>
    </row>
    <row r="65" spans="1:18">
      <c r="B65" s="9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C65" s="95"/>
      <c r="D65" s="95"/>
      <c r="E65" s="95"/>
      <c r="F65" s="95"/>
    </row>
    <row r="66" spans="1:18">
      <c r="B66"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C66" s="149"/>
      <c r="D66" s="149"/>
      <c r="E66" s="149"/>
      <c r="F66" s="149"/>
    </row>
    <row r="67" spans="1:18">
      <c r="B67" s="149" t="s">
        <v>410</v>
      </c>
      <c r="C67" s="149"/>
      <c r="D67" s="149"/>
      <c r="E67" s="149"/>
      <c r="F67" s="149"/>
      <c r="G67" s="150"/>
      <c r="H67" s="150"/>
      <c r="I67" s="150"/>
      <c r="J67" s="150"/>
      <c r="K67" s="150"/>
      <c r="L67" s="150"/>
      <c r="M67" s="150"/>
      <c r="N67" s="150"/>
    </row>
    <row r="68" spans="1:18" ht="10.5" customHeight="1">
      <c r="A68" s="57"/>
      <c r="B68" s="196" t="s">
        <v>302</v>
      </c>
      <c r="C68" s="196"/>
      <c r="D68" s="196"/>
      <c r="E68" s="196"/>
      <c r="F68" s="196"/>
      <c r="G68" s="57"/>
      <c r="H68" s="57"/>
      <c r="I68" s="57"/>
      <c r="J68" s="57"/>
      <c r="K68" s="57"/>
      <c r="L68" s="57"/>
      <c r="M68" s="57"/>
      <c r="N68" s="57"/>
      <c r="O68" s="57"/>
      <c r="P68" s="57"/>
      <c r="Q68" s="57"/>
    </row>
    <row r="69" spans="1:18" ht="13.5" customHeight="1">
      <c r="A69" s="57"/>
      <c r="B69" s="332" t="str">
        <f>"　また、「扶養親族」とは、"&amp;IF(計算シート!C67=0,"生計維持者","扶養者")&amp;"の配偶者でない６親等内の血族又は３親等内の姻族で、他者の扶養親族になっておらず、合計所得金額が"</f>
        <v>　また、「扶養親族」とは、扶養者の配偶者でない６親等内の血族又は３親等内の姻族で、他者の扶養親族になっておらず、合計所得金額が</v>
      </c>
      <c r="C69" s="332"/>
      <c r="D69" s="332"/>
      <c r="E69" s="332"/>
      <c r="F69" s="332"/>
      <c r="G69" s="57"/>
      <c r="H69" s="57"/>
      <c r="I69" s="57"/>
      <c r="J69" s="57"/>
      <c r="K69" s="57"/>
      <c r="L69" s="57"/>
      <c r="M69" s="57"/>
      <c r="N69" s="57"/>
      <c r="O69" s="57"/>
      <c r="P69" s="57"/>
      <c r="Q69" s="57"/>
    </row>
    <row r="70" spans="1:18" ht="13.5" customHeight="1">
      <c r="A70" s="57"/>
      <c r="B70" s="332" t="str">
        <f>"　48万円以下の、"&amp;IF(計算シート!C67=0,"生計維持者","扶養者")&amp;"と生計を一にしている者（住所は同一である必要はありません。）をいいますので、該当する者を申告してください。"</f>
        <v>　48万円以下の、扶養者と生計を一にしている者（住所は同一である必要はありません。）をいいますので、該当する者を申告してください。</v>
      </c>
      <c r="C70" s="332"/>
      <c r="D70" s="332"/>
      <c r="E70" s="332"/>
      <c r="F70" s="332"/>
      <c r="G70" s="57"/>
      <c r="H70" s="57"/>
      <c r="I70" s="57"/>
      <c r="J70" s="57"/>
      <c r="K70" s="57"/>
      <c r="L70" s="57"/>
      <c r="M70" s="57"/>
      <c r="N70" s="57"/>
      <c r="O70" s="57"/>
      <c r="P70" s="57"/>
      <c r="Q70" s="57"/>
    </row>
    <row r="71" spans="1:18" ht="13.5" customHeight="1">
      <c r="A71" s="139"/>
      <c r="B71" s="197" t="s">
        <v>411</v>
      </c>
      <c r="C71" s="197"/>
      <c r="D71" s="197"/>
      <c r="E71" s="197"/>
      <c r="F71" s="197"/>
      <c r="G71" s="139"/>
      <c r="H71" s="139"/>
      <c r="I71" s="139"/>
      <c r="J71" s="139"/>
      <c r="K71" s="139"/>
      <c r="L71" s="139"/>
      <c r="M71" s="139"/>
      <c r="N71" s="139"/>
      <c r="O71" s="139"/>
      <c r="P71" s="139"/>
      <c r="Q71" s="139"/>
    </row>
    <row r="72" spans="1:18">
      <c r="B72" s="92" t="s">
        <v>298</v>
      </c>
      <c r="C72" s="92"/>
      <c r="D72" s="92"/>
      <c r="E72" s="92"/>
      <c r="F72" s="531"/>
    </row>
    <row r="73" spans="1:18" ht="10.5" customHeight="1">
      <c r="A73" s="91"/>
      <c r="B73" s="129" t="s">
        <v>1090</v>
      </c>
      <c r="C73" s="499">
        <f>計算シート!B34</f>
        <v>0</v>
      </c>
      <c r="D73" s="500"/>
      <c r="E73" s="528"/>
      <c r="F73" s="530"/>
      <c r="G73" s="497" t="s">
        <v>943</v>
      </c>
      <c r="H73" s="503">
        <f>IF(計算シート!C62=0,"-",計算シート!C64)</f>
        <v>0</v>
      </c>
      <c r="I73" s="549" t="s">
        <v>945</v>
      </c>
      <c r="J73" s="550"/>
      <c r="K73" s="459">
        <f>IF(計算シート!C62=0,"-",計算シート!C66)</f>
        <v>0</v>
      </c>
      <c r="L73" s="489"/>
      <c r="M73" s="489"/>
      <c r="N73" s="489"/>
      <c r="O73" s="489"/>
    </row>
    <row r="74" spans="1:18" ht="10.5" customHeight="1">
      <c r="A74" s="93"/>
      <c r="B74" s="133" t="s">
        <v>1091</v>
      </c>
      <c r="C74" s="501">
        <f>計算シート!C60</f>
        <v>0</v>
      </c>
      <c r="D74" s="502">
        <f>計算シート!D60</f>
        <v>0</v>
      </c>
      <c r="E74" s="529"/>
      <c r="F74" s="532"/>
      <c r="G74" s="498" t="s">
        <v>944</v>
      </c>
      <c r="H74" s="504">
        <f>計算シート!C65</f>
        <v>0</v>
      </c>
      <c r="I74" s="196"/>
      <c r="J74" s="196"/>
      <c r="K74" s="196"/>
      <c r="L74" s="452"/>
      <c r="M74" s="452"/>
      <c r="N74" s="452"/>
      <c r="O74" s="196"/>
      <c r="P74" s="57"/>
    </row>
    <row r="75" spans="1:18" ht="10.5" customHeight="1">
      <c r="B75" s="525" t="s">
        <v>1092</v>
      </c>
      <c r="C75" s="526">
        <f>IF(計算シート!C62=0,計算シート!C41,計算シート!C61)</f>
        <v>0</v>
      </c>
      <c r="D75" s="527">
        <f>IF(計算シート!C62=0,計算シート!D41,計算シート!D61)</f>
        <v>0</v>
      </c>
      <c r="E75" s="534"/>
      <c r="F75" s="454"/>
      <c r="G75" s="533"/>
      <c r="I75" s="453"/>
      <c r="J75" s="453"/>
      <c r="K75" s="453"/>
      <c r="L75" s="57"/>
      <c r="M75" s="454"/>
      <c r="N75" s="454"/>
      <c r="O75" s="453"/>
      <c r="P75" s="57"/>
      <c r="Q75" s="451"/>
      <c r="R75" s="98"/>
    </row>
    <row r="76" spans="1:18" ht="10.5" hidden="1" customHeight="1">
      <c r="B76" s="157" t="s">
        <v>393</v>
      </c>
      <c r="C76" s="159" t="str">
        <f>IF(計算シート!C62=0,計算シート!C42,"-")</f>
        <v>-</v>
      </c>
      <c r="D76" s="488" t="str">
        <f>IF(計算シート!C62=0,計算シート!D42,"-")</f>
        <v>-</v>
      </c>
      <c r="E76" s="158"/>
      <c r="F76" s="159"/>
      <c r="G76" s="57"/>
      <c r="H76" s="159"/>
      <c r="I76" s="453"/>
      <c r="J76" s="453"/>
      <c r="K76" s="453"/>
      <c r="L76" s="57"/>
      <c r="M76" s="454"/>
      <c r="N76" s="454"/>
      <c r="O76" s="453"/>
      <c r="Q76" s="57"/>
      <c r="R76" s="98" t="s">
        <v>1069</v>
      </c>
    </row>
  </sheetData>
  <sheetProtection password="FE18" sheet="1" objects="1" scenarios="1"/>
  <protectedRanges>
    <protectedRange sqref="D10 D11:E18 F24:F31 F35:F40 H11 F43:F48 F51:F59 L8:M8 N54 H54 L51:L59 L43:L48 I13:L13 L10:N10 I15:I17 L35 L39 J11:N11" name="範囲1"/>
  </protectedRanges>
  <mergeCells count="56">
    <mergeCell ref="B25:D25"/>
    <mergeCell ref="B26:D26"/>
    <mergeCell ref="B27:D27"/>
    <mergeCell ref="B28:D28"/>
    <mergeCell ref="B29:D29"/>
    <mergeCell ref="A1:O1"/>
    <mergeCell ref="B5:O6"/>
    <mergeCell ref="O2:Q3"/>
    <mergeCell ref="B23:D23"/>
    <mergeCell ref="B24:D24"/>
    <mergeCell ref="L8:N8"/>
    <mergeCell ref="L9:N9"/>
    <mergeCell ref="I15:J15"/>
    <mergeCell ref="I17:J17"/>
    <mergeCell ref="I13:L13"/>
    <mergeCell ref="J11:N11"/>
    <mergeCell ref="K17:N17"/>
    <mergeCell ref="H8:K8"/>
    <mergeCell ref="H10:K10"/>
    <mergeCell ref="G13:H13"/>
    <mergeCell ref="G15:H15"/>
    <mergeCell ref="B39:D39"/>
    <mergeCell ref="B40:D40"/>
    <mergeCell ref="B43:D43"/>
    <mergeCell ref="B44:D44"/>
    <mergeCell ref="B30:D30"/>
    <mergeCell ref="B31:D31"/>
    <mergeCell ref="B35:D35"/>
    <mergeCell ref="B36:D36"/>
    <mergeCell ref="B37:D37"/>
    <mergeCell ref="B59:D59"/>
    <mergeCell ref="D11:F11"/>
    <mergeCell ref="D13:F13"/>
    <mergeCell ref="D15:F15"/>
    <mergeCell ref="D17:F17"/>
    <mergeCell ref="B54:D54"/>
    <mergeCell ref="B55:D55"/>
    <mergeCell ref="B56:D56"/>
    <mergeCell ref="B57:D57"/>
    <mergeCell ref="B58:D58"/>
    <mergeCell ref="B45:D45"/>
    <mergeCell ref="B46:D46"/>
    <mergeCell ref="B51:D51"/>
    <mergeCell ref="B52:D52"/>
    <mergeCell ref="B53:D53"/>
    <mergeCell ref="B38:D38"/>
    <mergeCell ref="L10:N10"/>
    <mergeCell ref="J26:M26"/>
    <mergeCell ref="J27:M27"/>
    <mergeCell ref="G17:H17"/>
    <mergeCell ref="I73:J73"/>
    <mergeCell ref="J28:M28"/>
    <mergeCell ref="J29:M29"/>
    <mergeCell ref="J30:M30"/>
    <mergeCell ref="H55:I55"/>
    <mergeCell ref="N55:O55"/>
  </mergeCells>
  <phoneticPr fontId="2"/>
  <conditionalFormatting sqref="B40 H40:I40 E40:F40 L40">
    <cfRule type="expression" dxfId="92" priority="50">
      <formula>$F$36="はい"</formula>
    </cfRule>
  </conditionalFormatting>
  <conditionalFormatting sqref="K51:L59 H37:I38 E37:F38 B37:B38 K34:M40 K42:M48">
    <cfRule type="expression" dxfId="91" priority="54">
      <formula>$L$33=""</formula>
    </cfRule>
  </conditionalFormatting>
  <conditionalFormatting sqref="L74:O74 M75:O76 F75:F76">
    <cfRule type="expression" dxfId="90" priority="57">
      <formula>OR($F$36="いいえ",$F$37="いいえ")</formula>
    </cfRule>
  </conditionalFormatting>
  <conditionalFormatting sqref="B28:B31 E28:G31">
    <cfRule type="expression" dxfId="89" priority="58">
      <formula>$F$27="いいえ"</formula>
    </cfRule>
  </conditionalFormatting>
  <conditionalFormatting sqref="B26 E26:F26">
    <cfRule type="expression" dxfId="88" priority="61">
      <formula>$F$25&lt;&gt;"特別の障がい者である"</formula>
    </cfRule>
  </conditionalFormatting>
  <conditionalFormatting sqref="G40">
    <cfRule type="expression" dxfId="87" priority="15">
      <formula>$F$36="はい"</formula>
    </cfRule>
  </conditionalFormatting>
  <conditionalFormatting sqref="G37:G38">
    <cfRule type="expression" dxfId="86" priority="16">
      <formula>$F$36="いいえ"</formula>
    </cfRule>
  </conditionalFormatting>
  <conditionalFormatting sqref="M51:M59">
    <cfRule type="expression" dxfId="85" priority="10">
      <formula>$F$36="いいえ"</formula>
    </cfRule>
  </conditionalFormatting>
  <conditionalFormatting sqref="N51:O54">
    <cfRule type="expression" dxfId="84" priority="9">
      <formula>$F$36="いいえ"</formula>
    </cfRule>
  </conditionalFormatting>
  <conditionalFormatting sqref="B17:K17">
    <cfRule type="expression" dxfId="83" priority="7">
      <formula>$I$15="その他"</formula>
    </cfRule>
  </conditionalFormatting>
  <dataValidations count="7">
    <dataValidation type="whole" allowBlank="1" showInputMessage="1" showErrorMessage="1" sqref="H56:H59 F51:F59 L51:L59 H54 N54 N56:N59">
      <formula1>0</formula1>
      <formula2>99</formula2>
    </dataValidation>
    <dataValidation type="decimal" allowBlank="1" showInputMessage="1" showErrorMessage="1" sqref="H46 F44 H44 F46 L46 L44">
      <formula1>0</formula1>
      <formula2>999999999999999000000</formula2>
    </dataValidation>
    <dataValidation type="date" allowBlank="1" showInputMessage="1" showErrorMessage="1" sqref="H35 F35 L35">
      <formula1>1</formula1>
      <formula2>73051</formula2>
    </dataValidation>
    <dataValidation type="decimal" allowBlank="1" showInputMessage="1" showErrorMessage="1" sqref="H48 F31 L48 F48">
      <formula1>-999999999999999000000</formula1>
      <formula2>999999999999999000000</formula2>
    </dataValidation>
    <dataValidation type="date" allowBlank="1" showInputMessage="1" showErrorMessage="1" sqref="N13:N14 I13:I14 L8">
      <formula1>1</formula1>
      <formula2>401404</formula2>
    </dataValidation>
    <dataValidation type="whole" allowBlank="1" showInputMessage="1" showErrorMessage="1" sqref="D10:E10">
      <formula1>2000</formula1>
      <formula2>9999</formula2>
    </dataValidation>
    <dataValidation type="decimal" allowBlank="1" showInputMessage="1" showErrorMessage="1" sqref="F29">
      <formula1>0</formula1>
      <formula2>9.99999999999999E+23</formula2>
    </dataValidation>
  </dataValidations>
  <pageMargins left="0.43307086614173229" right="0.43307086614173229" top="0.35433070866141736" bottom="0.35433070866141736" header="0.11811023622047245" footer="0.11811023622047245"/>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AC3079FC-7027-4A9C-8E5A-F988B585EEA1}">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27" id="{61E2E4DC-7689-4A1B-97F8-A274F68C9FAE}">
            <xm:f>計算シート!$C$67=1</xm:f>
            <x14:dxf>
              <font>
                <color theme="0" tint="-4.9989318521683403E-2"/>
              </font>
              <fill>
                <patternFill>
                  <bgColor theme="0" tint="-4.9989318521683403E-2"/>
                </patternFill>
              </fill>
              <border>
                <left/>
                <right/>
                <top/>
                <bottom/>
              </border>
            </x14:dxf>
          </x14:cfRule>
          <xm:sqref>A22:D22 A23:B31 E22:G31</xm:sqref>
        </x14:conditionalFormatting>
        <x14:conditionalFormatting xmlns:xm="http://schemas.microsoft.com/office/excel/2006/main">
          <x14:cfRule type="expression" priority="25" id="{AD0A99A7-B1E6-4DC0-ACA6-4C376F396664}">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23" id="{16233E96-A2DD-4726-AB21-E231E6DF204E}">
            <xm:f>計算シート!C67=1</xm:f>
            <x14:dxf>
              <border>
                <bottom/>
                <vertical/>
                <horizontal/>
              </border>
            </x14:dxf>
          </x14:cfRule>
          <xm:sqref>I13:I14</xm:sqref>
        </x14:conditionalFormatting>
        <x14:conditionalFormatting xmlns:xm="http://schemas.microsoft.com/office/excel/2006/main">
          <x14:cfRule type="expression" priority="22" id="{2312C93F-55F7-429F-9AB2-53D58214CE3E}">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21" id="{3C42DC4B-777F-4F05-B1F0-BA2C10ACA938}">
            <xm:f>計算シート!$C$67=1</xm:f>
            <x14:dxf>
              <border>
                <right style="dotted">
                  <color auto="1"/>
                </right>
                <vertical/>
                <horizontal/>
              </border>
            </x14:dxf>
          </x14:cfRule>
          <xm:sqref>G22:G31</xm:sqref>
        </x14:conditionalFormatting>
        <x14:conditionalFormatting xmlns:xm="http://schemas.microsoft.com/office/excel/2006/main">
          <x14:cfRule type="expression" priority="20" id="{F879DC3C-62AB-4857-A7F5-CAED86E4BEB2}">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19" id="{76CC0AD1-56C4-4499-B2E1-6A7EF706FBB4}">
            <xm:f>計算シート!$C$67=1</xm:f>
            <x14:dxf>
              <border>
                <left style="dotted">
                  <color auto="1"/>
                </left>
                <vertical/>
                <horizontal/>
              </border>
            </x14:dxf>
          </x14:cfRule>
          <xm:sqref>A22:A31</xm:sqref>
        </x14:conditionalFormatting>
        <x14:conditionalFormatting xmlns:xm="http://schemas.microsoft.com/office/excel/2006/main">
          <x14:cfRule type="expression" priority="18" id="{CC23516B-02E0-44A0-BC13-F43B116E2360}">
            <xm:f>計算シート!$C$67=1</xm:f>
            <x14:dxf>
              <font>
                <b/>
                <i val="0"/>
                <color auto="1"/>
              </font>
            </x14:dxf>
          </x14:cfRule>
          <xm:sqref>A22</xm:sqref>
        </x14:conditionalFormatting>
        <x14:conditionalFormatting xmlns:xm="http://schemas.microsoft.com/office/excel/2006/main">
          <x14:cfRule type="expression" priority="49" id="{97B28681-1F58-4A94-81B2-544391A07B3E}">
            <xm:f>計算シート!J67=1</xm:f>
            <x14:dxf>
              <border>
                <bottom/>
                <vertical/>
                <horizontal/>
              </border>
            </x14:dxf>
          </x14:cfRule>
          <xm:sqref>I17:I18</xm:sqref>
        </x14:conditionalFormatting>
        <x14:conditionalFormatting xmlns:xm="http://schemas.microsoft.com/office/excel/2006/main">
          <x14:cfRule type="expression" priority="70" id="{AD0A99A7-B1E6-4DC0-ACA6-4C376F396664}">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73" id="{16233E96-A2DD-4726-AB21-E231E6DF204E}">
            <xm:f>計算シート!E67=1</xm:f>
            <x14:dxf>
              <border>
                <bottom/>
                <vertical/>
                <horizontal/>
              </border>
            </x14:dxf>
          </x14:cfRule>
          <xm:sqref>N13:N14</xm:sqref>
        </x14:conditionalFormatting>
        <x14:conditionalFormatting xmlns:xm="http://schemas.microsoft.com/office/excel/2006/main">
          <x14:cfRule type="expression" priority="8" id="{9AA7258F-9E79-447C-B5B9-279C57BEB1F1}">
            <xm:f>計算シート!F67=1</xm:f>
            <x14:dxf>
              <border>
                <bottom/>
                <vertical/>
                <horizontal/>
              </border>
            </x14:dxf>
          </x14:cfRule>
          <xm:sqref>I15:I16</xm:sqref>
        </x14:conditionalFormatting>
        <x14:conditionalFormatting xmlns:xm="http://schemas.microsoft.com/office/excel/2006/main">
          <x14:cfRule type="expression" priority="81" id="{9AA7258F-9E79-447C-B5B9-279C57BEB1F1}">
            <xm:f>計算シート!C67=1</xm:f>
            <x14:dxf>
              <border>
                <bottom/>
                <vertical/>
                <horizontal/>
              </border>
            </x14:dxf>
          </x14:cfRule>
          <xm:sqref>G15:G16</xm:sqref>
        </x14:conditionalFormatting>
        <x14:conditionalFormatting xmlns:xm="http://schemas.microsoft.com/office/excel/2006/main">
          <x14:cfRule type="expression" priority="86" id="{97B28681-1F58-4A94-81B2-544391A07B3E}">
            <xm:f>計算シート!G67=1</xm:f>
            <x14:dxf>
              <border>
                <bottom/>
                <vertical/>
                <horizontal/>
              </border>
            </x14:dxf>
          </x14:cfRule>
          <xm:sqref>G17:G18</xm:sqref>
        </x14:conditionalFormatting>
        <x14:conditionalFormatting xmlns:xm="http://schemas.microsoft.com/office/excel/2006/main">
          <x14:cfRule type="expression" priority="90" id="{97B28681-1F58-4A94-81B2-544391A07B3E}">
            <xm:f>計算シート!C67=1</xm:f>
            <x14:dxf>
              <border>
                <bottom/>
                <vertical/>
                <horizontal/>
              </border>
            </x14:dxf>
          </x14:cfRule>
          <xm:sqref>D17:K17</xm:sqref>
        </x14:conditionalFormatting>
        <x14:conditionalFormatting xmlns:xm="http://schemas.microsoft.com/office/excel/2006/main">
          <x14:cfRule type="expression" priority="92" id="{16233E96-A2DD-4726-AB21-E231E6DF204E}">
            <xm:f>計算シート!C70=1</xm:f>
            <x14:dxf>
              <border>
                <bottom/>
                <vertical/>
                <horizontal/>
              </border>
            </x14:dxf>
          </x14:cfRule>
          <xm:sqref>K19:L19</xm:sqref>
        </x14:conditionalFormatting>
        <x14:conditionalFormatting xmlns:xm="http://schemas.microsoft.com/office/excel/2006/main">
          <x14:cfRule type="expression" priority="94" id="{16233E96-A2DD-4726-AB21-E231E6DF204E}">
            <xm:f>計算シート!C69=1</xm:f>
            <x14:dxf>
              <border>
                <bottom/>
                <vertical/>
                <horizontal/>
              </border>
            </x14:dxf>
          </x14:cfRule>
          <xm:sqref>I17:I18</xm:sqref>
        </x14:conditionalFormatting>
        <x14:conditionalFormatting xmlns:xm="http://schemas.microsoft.com/office/excel/2006/main">
          <x14:cfRule type="expression" priority="109" id="{9AA7258F-9E79-447C-B5B9-279C57BEB1F1}">
            <xm:f>計算シート!F68=1</xm:f>
            <x14:dxf>
              <border>
                <bottom/>
                <vertical/>
                <horizontal/>
              </border>
            </x14:dxf>
          </x14:cfRule>
          <xm:sqref>I17:I18</xm:sqref>
        </x14:conditionalFormatting>
        <x14:conditionalFormatting xmlns:xm="http://schemas.microsoft.com/office/excel/2006/main">
          <x14:cfRule type="expression" priority="111" id="{9AA7258F-9E79-447C-B5B9-279C57BEB1F1}">
            <xm:f>計算シート!C68=1</xm:f>
            <x14:dxf>
              <border>
                <bottom/>
                <vertical/>
                <horizontal/>
              </border>
            </x14:dxf>
          </x14:cfRule>
          <xm:sqref>G17:G18</xm:sqref>
        </x14:conditionalFormatting>
        <x14:conditionalFormatting xmlns:xm="http://schemas.microsoft.com/office/excel/2006/main">
          <x14:cfRule type="expression" priority="113" id="{16233E96-A2DD-4726-AB21-E231E6DF204E}">
            <xm:f>計算シート!C68=1</xm:f>
            <x14:dxf>
              <border>
                <bottom/>
                <vertical/>
                <horizontal/>
              </border>
            </x14:dxf>
          </x14:cfRule>
          <xm:sqref>I15:I16</xm:sqref>
        </x14:conditionalFormatting>
        <x14:conditionalFormatting xmlns:xm="http://schemas.microsoft.com/office/excel/2006/main">
          <x14:cfRule type="expression" priority="6" id="{6B585947-5C5A-444B-9B6A-8D2797203799}">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5" id="{744B2893-8987-4558-B5FD-3855283A1A50}">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4" id="{5B7B19F5-6C8B-4AAD-A437-5413B93715BE}">
            <xm:f>計算シート!C67=1</xm:f>
            <x14:dxf>
              <border>
                <left style="hair">
                  <color auto="1"/>
                </left>
                <vertical/>
                <horizontal/>
              </border>
            </x14:dxf>
          </x14:cfRule>
          <xm:sqref>G15:H15</xm:sqref>
        </x14:conditionalFormatting>
        <x14:conditionalFormatting xmlns:xm="http://schemas.microsoft.com/office/excel/2006/main">
          <x14:cfRule type="expression" priority="3" id="{800132D5-CFC1-4556-B6F3-8DB9E149395F}">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2" id="{70422117-EAFE-4A92-A9CC-99DE717F740E}">
            <xm:f>計算シート!C67=1</xm:f>
            <x14:dxf>
              <font>
                <color theme="0"/>
              </font>
              <border>
                <bottom style="hair">
                  <color auto="1"/>
                </bottom>
                <vertical/>
                <horizontal/>
              </border>
            </x14:dxf>
          </x14:cfRule>
          <xm:sqref>I13:L13</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計算シート!$F$5:$F$7</xm:f>
          </x14:formula1>
          <xm:sqref>F39 F25 L39</xm:sqref>
        </x14:dataValidation>
        <x14:dataValidation type="list" allowBlank="1" showInputMessage="1" showErrorMessage="1">
          <x14:formula1>
            <xm:f>前年レート!$N$12:$N$74</xm:f>
          </x14:formula1>
          <xm:sqref>L47 F43 F47 F30 L43 F28 L45 F45</xm:sqref>
        </x14:dataValidation>
        <x14:dataValidation type="list" allowBlank="1" showInputMessage="1" showErrorMessage="1">
          <x14:formula1>
            <xm:f>計算シート!$F$15:$F$22</xm:f>
          </x14:formula1>
          <xm:sqref>L10</xm:sqref>
        </x14:dataValidation>
        <x14:dataValidation type="list" allowBlank="1" showInputMessage="1" showErrorMessage="1">
          <x14:formula1>
            <xm:f>計算シート!$F$3:$F$4</xm:f>
          </x14:formula1>
          <xm:sqref>F26:F27 F36 F38</xm:sqref>
        </x14:dataValidation>
        <x14:dataValidation type="list" allowBlank="1" showInputMessage="1" showErrorMessage="1">
          <x14:formula1>
            <xm:f>計算シート!$F$8:$F$10</xm:f>
          </x14:formula1>
          <xm:sqref>F40</xm:sqref>
        </x14:dataValidation>
        <x14:dataValidation type="list" allowBlank="1" showInputMessage="1" showErrorMessage="1">
          <x14:formula1>
            <xm:f>計算シート!$F$11:$F$13</xm:f>
          </x14:formula1>
          <xm:sqref>F24</xm:sqref>
        </x14:dataValidation>
        <x14:dataValidation type="list" allowBlank="1" showInputMessage="1" showErrorMessage="1">
          <x14:formula1>
            <xm:f>計算シート!$F$24:$F$25</xm:f>
          </x14:formula1>
          <xm:sqref>I17:J17</xm:sqref>
        </x14:dataValidation>
        <x14:dataValidation type="list" allowBlank="1" showInputMessage="1" showErrorMessage="1">
          <x14:formula1>
            <xm:f>計算シート!$F$24:$F$29</xm:f>
          </x14:formula1>
          <xm:sqref>I16:J16</xm:sqref>
        </x14:dataValidation>
        <x14:dataValidation type="list" allowBlank="1" showInputMessage="1" showErrorMessage="1">
          <x14:formula1>
            <xm:f>計算シート!$F$24:$F$29</xm:f>
          </x14:formula1>
          <xm:sqref>I18:J18</xm:sqref>
        </x14:dataValidation>
        <x14:dataValidation type="list" allowBlank="1" showInputMessage="1" showErrorMessage="1">
          <x14:formula1>
            <xm:f>計算シート!$F$24:$F$28</xm:f>
          </x14:formula1>
          <xm:sqref>I15:J15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
  <sheetViews>
    <sheetView zoomScaleNormal="100" workbookViewId="0">
      <selection activeCell="B7" sqref="B7"/>
    </sheetView>
  </sheetViews>
  <sheetFormatPr defaultRowHeight="13.5"/>
  <cols>
    <col min="2" max="2" width="50.25" bestFit="1" customWidth="1"/>
    <col min="3" max="3" width="9" customWidth="1"/>
    <col min="4" max="4" width="45.75" customWidth="1"/>
  </cols>
  <sheetData>
    <row r="1" spans="1:4">
      <c r="A1" s="50" t="s">
        <v>170</v>
      </c>
      <c r="B1" s="50" t="s">
        <v>50</v>
      </c>
      <c r="C1" s="50" t="s">
        <v>51</v>
      </c>
      <c r="D1" s="50" t="s">
        <v>52</v>
      </c>
    </row>
    <row r="2" spans="1:4">
      <c r="A2" s="50">
        <v>1</v>
      </c>
      <c r="B2" s="52">
        <v>0</v>
      </c>
      <c r="C2" s="50" t="s">
        <v>78</v>
      </c>
      <c r="D2" s="50" t="s">
        <v>79</v>
      </c>
    </row>
    <row r="3" spans="1:4">
      <c r="A3" s="50">
        <v>2</v>
      </c>
      <c r="B3" s="52" t="s">
        <v>80</v>
      </c>
      <c r="C3" s="50" t="s">
        <v>78</v>
      </c>
      <c r="D3" s="50" t="s">
        <v>81</v>
      </c>
    </row>
    <row r="4" spans="1:4">
      <c r="A4" s="50">
        <v>3</v>
      </c>
      <c r="B4" s="50">
        <v>969000</v>
      </c>
      <c r="C4" s="50" t="s">
        <v>78</v>
      </c>
      <c r="D4" s="50" t="s">
        <v>82</v>
      </c>
    </row>
    <row r="5" spans="1:4">
      <c r="A5" s="50">
        <v>4</v>
      </c>
      <c r="B5" s="50">
        <v>970000</v>
      </c>
      <c r="C5" s="50" t="s">
        <v>78</v>
      </c>
      <c r="D5" s="50" t="s">
        <v>83</v>
      </c>
    </row>
    <row r="6" spans="1:4">
      <c r="A6" s="50">
        <v>5</v>
      </c>
      <c r="B6" s="50">
        <v>972000</v>
      </c>
      <c r="C6" s="50" t="s">
        <v>78</v>
      </c>
      <c r="D6" s="50" t="s">
        <v>84</v>
      </c>
    </row>
    <row r="7" spans="1:4">
      <c r="A7" s="50">
        <v>6</v>
      </c>
      <c r="B7" s="50">
        <v>974000</v>
      </c>
      <c r="C7" s="50" t="s">
        <v>78</v>
      </c>
      <c r="D7" s="50" t="s">
        <v>85</v>
      </c>
    </row>
    <row r="8" spans="1:4">
      <c r="A8" s="50">
        <v>7</v>
      </c>
      <c r="B8" s="52" t="s">
        <v>220</v>
      </c>
      <c r="C8" s="50" t="s">
        <v>78</v>
      </c>
      <c r="D8" s="50" t="s">
        <v>86</v>
      </c>
    </row>
    <row r="9" spans="1:4">
      <c r="A9" s="50">
        <v>8</v>
      </c>
      <c r="B9" s="52" t="s">
        <v>221</v>
      </c>
      <c r="C9" s="50" t="s">
        <v>78</v>
      </c>
      <c r="D9" s="50" t="s">
        <v>87</v>
      </c>
    </row>
    <row r="10" spans="1:4">
      <c r="A10" s="50">
        <v>9</v>
      </c>
      <c r="B10" s="52" t="s">
        <v>222</v>
      </c>
      <c r="C10" s="50" t="s">
        <v>78</v>
      </c>
      <c r="D10" s="50" t="s">
        <v>88</v>
      </c>
    </row>
    <row r="11" spans="1:4">
      <c r="A11" s="50">
        <v>10</v>
      </c>
      <c r="B11" s="52" t="s">
        <v>89</v>
      </c>
      <c r="C11" s="50" t="s">
        <v>78</v>
      </c>
      <c r="D11" s="50" t="s">
        <v>90</v>
      </c>
    </row>
    <row r="12" spans="1:4">
      <c r="A12" s="50">
        <v>11</v>
      </c>
      <c r="B12" s="52" t="s">
        <v>91</v>
      </c>
      <c r="C12" s="50" t="s">
        <v>78</v>
      </c>
      <c r="D12" s="50" t="s">
        <v>92</v>
      </c>
    </row>
    <row r="13" spans="1:4">
      <c r="A13" s="50">
        <v>1</v>
      </c>
      <c r="B13" s="49">
        <v>65</v>
      </c>
      <c r="C13" s="50" t="s">
        <v>53</v>
      </c>
      <c r="D13" s="53" t="s">
        <v>93</v>
      </c>
    </row>
    <row r="14" spans="1:4">
      <c r="A14" s="50">
        <v>2</v>
      </c>
      <c r="B14" s="49">
        <v>3300000</v>
      </c>
      <c r="C14" s="50" t="s">
        <v>53</v>
      </c>
      <c r="D14" s="53" t="s">
        <v>94</v>
      </c>
    </row>
    <row r="15" spans="1:4">
      <c r="A15" s="50">
        <v>3</v>
      </c>
      <c r="B15" s="49">
        <v>4100000</v>
      </c>
      <c r="C15" s="50" t="s">
        <v>53</v>
      </c>
      <c r="D15" s="53" t="s">
        <v>95</v>
      </c>
    </row>
    <row r="16" spans="1:4">
      <c r="A16" s="50">
        <v>4</v>
      </c>
      <c r="B16" s="49">
        <v>7700000</v>
      </c>
      <c r="C16" s="50" t="s">
        <v>53</v>
      </c>
      <c r="D16" s="53" t="s">
        <v>96</v>
      </c>
    </row>
    <row r="17" spans="1:4">
      <c r="A17" s="50">
        <v>5</v>
      </c>
      <c r="B17" s="49">
        <v>10000000</v>
      </c>
      <c r="C17" s="50" t="s">
        <v>53</v>
      </c>
      <c r="D17" s="53" t="s">
        <v>97</v>
      </c>
    </row>
    <row r="18" spans="1:4">
      <c r="A18" s="50">
        <v>6</v>
      </c>
      <c r="B18" s="49">
        <v>1300000</v>
      </c>
      <c r="C18" s="50" t="s">
        <v>53</v>
      </c>
      <c r="D18" s="53" t="s">
        <v>98</v>
      </c>
    </row>
    <row r="19" spans="1:4">
      <c r="A19" s="50">
        <v>7</v>
      </c>
      <c r="B19" s="49">
        <v>4100000</v>
      </c>
      <c r="C19" s="50" t="s">
        <v>53</v>
      </c>
      <c r="D19" s="53" t="s">
        <v>99</v>
      </c>
    </row>
    <row r="20" spans="1:4">
      <c r="A20" s="50">
        <v>8</v>
      </c>
      <c r="B20" s="49">
        <v>7700000</v>
      </c>
      <c r="C20" s="50" t="s">
        <v>53</v>
      </c>
      <c r="D20" s="53" t="s">
        <v>100</v>
      </c>
    </row>
    <row r="21" spans="1:4">
      <c r="A21" s="50">
        <v>9</v>
      </c>
      <c r="B21" s="49">
        <v>10000000</v>
      </c>
      <c r="C21" s="50" t="s">
        <v>53</v>
      </c>
      <c r="D21" s="53" t="s">
        <v>101</v>
      </c>
    </row>
    <row r="22" spans="1:4">
      <c r="A22" s="50">
        <v>10</v>
      </c>
      <c r="B22" s="49" t="s">
        <v>102</v>
      </c>
      <c r="C22" s="50" t="s">
        <v>53</v>
      </c>
      <c r="D22" s="53" t="s">
        <v>103</v>
      </c>
    </row>
    <row r="23" spans="1:4">
      <c r="A23" s="50">
        <v>11</v>
      </c>
      <c r="B23" s="49" t="s">
        <v>104</v>
      </c>
      <c r="C23" s="50" t="s">
        <v>53</v>
      </c>
      <c r="D23" s="53" t="s">
        <v>105</v>
      </c>
    </row>
    <row r="24" spans="1:4">
      <c r="A24" s="50">
        <v>12</v>
      </c>
      <c r="B24" s="49" t="s">
        <v>106</v>
      </c>
      <c r="C24" s="50" t="s">
        <v>53</v>
      </c>
      <c r="D24" s="53" t="s">
        <v>107</v>
      </c>
    </row>
    <row r="25" spans="1:4">
      <c r="A25" s="50">
        <v>13</v>
      </c>
      <c r="B25" s="49" t="s">
        <v>108</v>
      </c>
      <c r="C25" s="50" t="s">
        <v>53</v>
      </c>
      <c r="D25" s="53" t="s">
        <v>109</v>
      </c>
    </row>
    <row r="26" spans="1:4">
      <c r="A26" s="50">
        <v>14</v>
      </c>
      <c r="B26" s="49" t="s">
        <v>110</v>
      </c>
      <c r="C26" s="50" t="s">
        <v>53</v>
      </c>
      <c r="D26" s="53" t="s">
        <v>111</v>
      </c>
    </row>
    <row r="27" spans="1:4">
      <c r="A27" s="50">
        <v>15</v>
      </c>
      <c r="B27" s="49" t="s">
        <v>112</v>
      </c>
      <c r="C27" s="50" t="s">
        <v>53</v>
      </c>
      <c r="D27" s="53" t="s">
        <v>113</v>
      </c>
    </row>
    <row r="28" spans="1:4">
      <c r="A28" s="50">
        <v>16</v>
      </c>
      <c r="B28" s="49" t="s">
        <v>104</v>
      </c>
      <c r="C28" s="50" t="s">
        <v>53</v>
      </c>
      <c r="D28" s="53" t="s">
        <v>114</v>
      </c>
    </row>
    <row r="29" spans="1:4">
      <c r="A29" s="50">
        <v>17</v>
      </c>
      <c r="B29" s="49" t="s">
        <v>106</v>
      </c>
      <c r="C29" s="50" t="s">
        <v>53</v>
      </c>
      <c r="D29" s="53" t="s">
        <v>115</v>
      </c>
    </row>
    <row r="30" spans="1:4">
      <c r="A30" s="50">
        <v>18</v>
      </c>
      <c r="B30" s="49" t="s">
        <v>108</v>
      </c>
      <c r="C30" s="50" t="s">
        <v>53</v>
      </c>
      <c r="D30" s="53" t="s">
        <v>116</v>
      </c>
    </row>
    <row r="31" spans="1:4">
      <c r="A31" s="50">
        <v>19</v>
      </c>
      <c r="B31" s="49" t="s">
        <v>110</v>
      </c>
      <c r="C31" s="50" t="s">
        <v>53</v>
      </c>
      <c r="D31" s="53" t="s">
        <v>117</v>
      </c>
    </row>
    <row r="32" spans="1:4">
      <c r="B32" t="s">
        <v>223</v>
      </c>
    </row>
    <row r="33" spans="2:2">
      <c r="B33" s="56" t="s">
        <v>224</v>
      </c>
    </row>
  </sheetData>
  <phoneticPr fontId="2"/>
  <pageMargins left="0.25" right="0.25" top="0.75" bottom="0.75" header="0.3" footer="0.3"/>
  <pageSetup paperSize="9" fitToHeight="0"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topLeftCell="A19" zoomScaleNormal="100" workbookViewId="0">
      <selection activeCell="C51" sqref="C51"/>
    </sheetView>
  </sheetViews>
  <sheetFormatPr defaultRowHeight="13.5"/>
  <cols>
    <col min="2" max="2" width="50.25" bestFit="1" customWidth="1"/>
    <col min="3" max="3" width="9" customWidth="1"/>
    <col min="4" max="4" width="45.75" customWidth="1"/>
  </cols>
  <sheetData>
    <row r="1" spans="1:4">
      <c r="A1" s="50" t="s">
        <v>170</v>
      </c>
      <c r="B1" s="50" t="s">
        <v>50</v>
      </c>
      <c r="C1" s="50" t="s">
        <v>51</v>
      </c>
      <c r="D1" s="50" t="s">
        <v>52</v>
      </c>
    </row>
    <row r="2" spans="1:4">
      <c r="A2" s="50">
        <v>1</v>
      </c>
      <c r="B2" s="52">
        <v>0</v>
      </c>
      <c r="C2" s="50" t="s">
        <v>78</v>
      </c>
      <c r="D2" s="205" t="s">
        <v>582</v>
      </c>
    </row>
    <row r="3" spans="1:4">
      <c r="A3" s="50">
        <v>2</v>
      </c>
      <c r="B3" s="364" t="s">
        <v>583</v>
      </c>
      <c r="C3" s="50" t="s">
        <v>78</v>
      </c>
      <c r="D3" s="50" t="s">
        <v>81</v>
      </c>
    </row>
    <row r="4" spans="1:4">
      <c r="A4" s="50">
        <v>3</v>
      </c>
      <c r="B4" s="205">
        <v>1069000</v>
      </c>
      <c r="C4" s="205" t="s">
        <v>53</v>
      </c>
      <c r="D4" s="50" t="s">
        <v>82</v>
      </c>
    </row>
    <row r="5" spans="1:4">
      <c r="A5" s="50">
        <v>4</v>
      </c>
      <c r="B5" s="205">
        <v>1070000</v>
      </c>
      <c r="C5" s="205" t="s">
        <v>53</v>
      </c>
      <c r="D5" s="50" t="s">
        <v>83</v>
      </c>
    </row>
    <row r="6" spans="1:4">
      <c r="A6" s="50">
        <v>5</v>
      </c>
      <c r="B6" s="205">
        <v>1072000</v>
      </c>
      <c r="C6" s="205" t="s">
        <v>53</v>
      </c>
      <c r="D6" s="50" t="s">
        <v>84</v>
      </c>
    </row>
    <row r="7" spans="1:4">
      <c r="A7" s="50">
        <v>6</v>
      </c>
      <c r="B7" s="205">
        <v>1074000</v>
      </c>
      <c r="C7" s="205" t="s">
        <v>53</v>
      </c>
      <c r="D7" s="50" t="s">
        <v>85</v>
      </c>
    </row>
    <row r="8" spans="1:4">
      <c r="A8" s="50">
        <v>7</v>
      </c>
      <c r="B8" s="364" t="s">
        <v>584</v>
      </c>
      <c r="C8" s="50" t="s">
        <v>78</v>
      </c>
      <c r="D8" s="50" t="s">
        <v>86</v>
      </c>
    </row>
    <row r="9" spans="1:4">
      <c r="A9" s="50">
        <v>8</v>
      </c>
      <c r="B9" s="364" t="s">
        <v>585</v>
      </c>
      <c r="C9" s="50" t="s">
        <v>78</v>
      </c>
      <c r="D9" s="50" t="s">
        <v>87</v>
      </c>
    </row>
    <row r="10" spans="1:4">
      <c r="A10" s="50">
        <v>9</v>
      </c>
      <c r="B10" s="364" t="s">
        <v>586</v>
      </c>
      <c r="C10" s="50" t="s">
        <v>78</v>
      </c>
      <c r="D10" s="50" t="s">
        <v>88</v>
      </c>
    </row>
    <row r="11" spans="1:4">
      <c r="A11" s="50">
        <v>10</v>
      </c>
      <c r="B11" s="364" t="s">
        <v>587</v>
      </c>
      <c r="C11" s="50" t="s">
        <v>78</v>
      </c>
      <c r="D11" s="205" t="s">
        <v>588</v>
      </c>
    </row>
    <row r="12" spans="1:4">
      <c r="A12" s="50">
        <v>11</v>
      </c>
      <c r="B12" s="364" t="s">
        <v>589</v>
      </c>
      <c r="C12" s="50" t="s">
        <v>78</v>
      </c>
      <c r="D12" s="205" t="s">
        <v>590</v>
      </c>
    </row>
    <row r="13" spans="1:4">
      <c r="A13" s="205">
        <v>12</v>
      </c>
      <c r="B13" s="364">
        <v>550000</v>
      </c>
      <c r="C13" s="205" t="s">
        <v>53</v>
      </c>
      <c r="D13" s="205" t="s">
        <v>591</v>
      </c>
    </row>
    <row r="14" spans="1:4">
      <c r="A14" s="205">
        <v>13</v>
      </c>
      <c r="B14" s="364">
        <v>-100000</v>
      </c>
      <c r="C14" s="205" t="s">
        <v>53</v>
      </c>
      <c r="D14" s="205" t="s">
        <v>592</v>
      </c>
    </row>
    <row r="15" spans="1:4">
      <c r="A15" s="205">
        <v>14</v>
      </c>
      <c r="B15" s="364">
        <v>80000</v>
      </c>
      <c r="C15" s="205" t="s">
        <v>53</v>
      </c>
      <c r="D15" s="205" t="s">
        <v>593</v>
      </c>
    </row>
    <row r="16" spans="1:4">
      <c r="A16" s="205">
        <v>15</v>
      </c>
      <c r="B16" s="364">
        <v>440000</v>
      </c>
      <c r="C16" s="205" t="s">
        <v>53</v>
      </c>
      <c r="D16" s="205" t="s">
        <v>594</v>
      </c>
    </row>
    <row r="17" spans="1:4">
      <c r="A17" s="205">
        <v>16</v>
      </c>
      <c r="B17" s="364">
        <v>1100000</v>
      </c>
      <c r="C17" s="205" t="s">
        <v>53</v>
      </c>
      <c r="D17" s="205" t="s">
        <v>595</v>
      </c>
    </row>
    <row r="18" spans="1:4">
      <c r="A18" s="205">
        <v>17</v>
      </c>
      <c r="B18" s="364">
        <v>1950000</v>
      </c>
      <c r="C18" s="205" t="s">
        <v>53</v>
      </c>
      <c r="D18" s="205" t="s">
        <v>596</v>
      </c>
    </row>
    <row r="19" spans="1:4">
      <c r="A19" s="205">
        <v>18</v>
      </c>
      <c r="B19" s="364">
        <v>0.6</v>
      </c>
      <c r="C19" s="205" t="s">
        <v>53</v>
      </c>
      <c r="D19" s="205" t="s">
        <v>592</v>
      </c>
    </row>
    <row r="20" spans="1:4">
      <c r="A20" s="205">
        <v>19</v>
      </c>
      <c r="B20" s="364">
        <v>0.7</v>
      </c>
      <c r="C20" s="205" t="s">
        <v>53</v>
      </c>
      <c r="D20" s="205" t="s">
        <v>593</v>
      </c>
    </row>
    <row r="21" spans="1:4">
      <c r="A21" s="205">
        <v>20</v>
      </c>
      <c r="B21" s="364">
        <v>0.8</v>
      </c>
      <c r="C21" s="205" t="s">
        <v>53</v>
      </c>
      <c r="D21" s="205" t="s">
        <v>594</v>
      </c>
    </row>
    <row r="22" spans="1:4">
      <c r="A22" s="205">
        <v>21</v>
      </c>
      <c r="B22" s="364">
        <v>0.9</v>
      </c>
      <c r="C22" s="205" t="s">
        <v>53</v>
      </c>
      <c r="D22" s="205" t="s">
        <v>595</v>
      </c>
    </row>
    <row r="23" spans="1:4">
      <c r="A23" s="50">
        <v>1</v>
      </c>
      <c r="B23" s="49">
        <v>65</v>
      </c>
      <c r="C23" s="50" t="s">
        <v>53</v>
      </c>
      <c r="D23" s="53" t="s">
        <v>93</v>
      </c>
    </row>
    <row r="24" spans="1:4">
      <c r="A24" s="50">
        <v>2</v>
      </c>
      <c r="B24" s="49">
        <v>3300000</v>
      </c>
      <c r="C24" s="50" t="s">
        <v>53</v>
      </c>
      <c r="D24" s="53" t="s">
        <v>94</v>
      </c>
    </row>
    <row r="25" spans="1:4">
      <c r="A25" s="50">
        <v>3</v>
      </c>
      <c r="B25" s="49">
        <v>4100000</v>
      </c>
      <c r="C25" s="50" t="s">
        <v>53</v>
      </c>
      <c r="D25" s="53" t="s">
        <v>95</v>
      </c>
    </row>
    <row r="26" spans="1:4">
      <c r="A26" s="50">
        <v>4</v>
      </c>
      <c r="B26" s="49">
        <v>7700000</v>
      </c>
      <c r="C26" s="50" t="s">
        <v>53</v>
      </c>
      <c r="D26" s="53" t="s">
        <v>96</v>
      </c>
    </row>
    <row r="27" spans="1:4">
      <c r="A27" s="50">
        <v>5</v>
      </c>
      <c r="B27" s="49">
        <v>10000000</v>
      </c>
      <c r="C27" s="50" t="s">
        <v>53</v>
      </c>
      <c r="D27" s="53" t="s">
        <v>97</v>
      </c>
    </row>
    <row r="28" spans="1:4">
      <c r="A28" s="50">
        <v>6</v>
      </c>
      <c r="B28" s="49">
        <v>1300000</v>
      </c>
      <c r="C28" s="50" t="s">
        <v>53</v>
      </c>
      <c r="D28" s="53" t="s">
        <v>98</v>
      </c>
    </row>
    <row r="29" spans="1:4">
      <c r="A29" s="50">
        <v>7</v>
      </c>
      <c r="B29" s="49">
        <v>4100000</v>
      </c>
      <c r="C29" s="50" t="s">
        <v>53</v>
      </c>
      <c r="D29" s="53" t="s">
        <v>99</v>
      </c>
    </row>
    <row r="30" spans="1:4">
      <c r="A30" s="50">
        <v>8</v>
      </c>
      <c r="B30" s="49">
        <v>7700000</v>
      </c>
      <c r="C30" s="50" t="s">
        <v>53</v>
      </c>
      <c r="D30" s="53" t="s">
        <v>100</v>
      </c>
    </row>
    <row r="31" spans="1:4">
      <c r="A31" s="50">
        <v>9</v>
      </c>
      <c r="B31" s="49">
        <v>10000000</v>
      </c>
      <c r="C31" s="50" t="s">
        <v>53</v>
      </c>
      <c r="D31" s="53" t="s">
        <v>101</v>
      </c>
    </row>
    <row r="32" spans="1:4">
      <c r="A32" s="50">
        <v>10</v>
      </c>
      <c r="B32" s="49" t="s">
        <v>102</v>
      </c>
      <c r="C32" s="50" t="s">
        <v>53</v>
      </c>
      <c r="D32" s="53" t="s">
        <v>103</v>
      </c>
    </row>
    <row r="33" spans="1:4">
      <c r="A33" s="50">
        <v>11</v>
      </c>
      <c r="B33" s="49" t="s">
        <v>104</v>
      </c>
      <c r="C33" s="50" t="s">
        <v>53</v>
      </c>
      <c r="D33" s="53" t="s">
        <v>105</v>
      </c>
    </row>
    <row r="34" spans="1:4">
      <c r="A34" s="50">
        <v>12</v>
      </c>
      <c r="B34" s="49" t="s">
        <v>106</v>
      </c>
      <c r="C34" s="50" t="s">
        <v>53</v>
      </c>
      <c r="D34" s="53" t="s">
        <v>107</v>
      </c>
    </row>
    <row r="35" spans="1:4">
      <c r="A35" s="50">
        <v>13</v>
      </c>
      <c r="B35" s="49" t="s">
        <v>108</v>
      </c>
      <c r="C35" s="50" t="s">
        <v>53</v>
      </c>
      <c r="D35" s="53" t="s">
        <v>109</v>
      </c>
    </row>
    <row r="36" spans="1:4">
      <c r="A36" s="50">
        <v>14</v>
      </c>
      <c r="B36" s="49" t="s">
        <v>110</v>
      </c>
      <c r="C36" s="50" t="s">
        <v>53</v>
      </c>
      <c r="D36" s="53" t="s">
        <v>111</v>
      </c>
    </row>
    <row r="37" spans="1:4">
      <c r="A37" s="50">
        <v>15</v>
      </c>
      <c r="B37" s="49" t="s">
        <v>112</v>
      </c>
      <c r="C37" s="50" t="s">
        <v>53</v>
      </c>
      <c r="D37" s="53" t="s">
        <v>113</v>
      </c>
    </row>
    <row r="38" spans="1:4">
      <c r="A38" s="50">
        <v>16</v>
      </c>
      <c r="B38" s="49" t="s">
        <v>104</v>
      </c>
      <c r="C38" s="50" t="s">
        <v>53</v>
      </c>
      <c r="D38" s="53" t="s">
        <v>114</v>
      </c>
    </row>
    <row r="39" spans="1:4">
      <c r="A39" s="50">
        <v>17</v>
      </c>
      <c r="B39" s="49" t="s">
        <v>106</v>
      </c>
      <c r="C39" s="50" t="s">
        <v>53</v>
      </c>
      <c r="D39" s="53" t="s">
        <v>115</v>
      </c>
    </row>
    <row r="40" spans="1:4">
      <c r="A40" s="50">
        <v>18</v>
      </c>
      <c r="B40" s="49" t="s">
        <v>108</v>
      </c>
      <c r="C40" s="50" t="s">
        <v>53</v>
      </c>
      <c r="D40" s="53" t="s">
        <v>116</v>
      </c>
    </row>
    <row r="41" spans="1:4">
      <c r="A41" s="50">
        <v>19</v>
      </c>
      <c r="B41" s="49" t="s">
        <v>110</v>
      </c>
      <c r="C41" s="50" t="s">
        <v>53</v>
      </c>
      <c r="D41" s="53" t="s">
        <v>117</v>
      </c>
    </row>
    <row r="42" spans="1:4">
      <c r="B42" t="s">
        <v>223</v>
      </c>
    </row>
    <row r="43" spans="1:4">
      <c r="B43" s="56" t="s">
        <v>224</v>
      </c>
    </row>
  </sheetData>
  <phoneticPr fontId="2"/>
  <pageMargins left="0.25" right="0.25" top="0.75" bottom="0.75" header="0.3" footer="0.3"/>
  <pageSetup paperSize="9" fitToHeight="0" orientation="portrait"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zoomScaleNormal="100" workbookViewId="0">
      <selection activeCell="C51" sqref="C51"/>
    </sheetView>
  </sheetViews>
  <sheetFormatPr defaultRowHeight="13.5"/>
  <cols>
    <col min="4" max="4" width="45" style="55" bestFit="1" customWidth="1"/>
  </cols>
  <sheetData>
    <row r="1" spans="1:5">
      <c r="A1" s="50" t="s">
        <v>170</v>
      </c>
      <c r="B1" s="50" t="s">
        <v>50</v>
      </c>
      <c r="C1" s="50" t="s">
        <v>51</v>
      </c>
      <c r="D1" s="49" t="s">
        <v>52</v>
      </c>
    </row>
    <row r="2" spans="1:5">
      <c r="A2" s="50">
        <v>1</v>
      </c>
      <c r="B2" s="50">
        <v>330000</v>
      </c>
      <c r="C2" s="50" t="s">
        <v>53</v>
      </c>
      <c r="D2" s="49" t="s">
        <v>31</v>
      </c>
    </row>
    <row r="3" spans="1:5">
      <c r="A3" s="50">
        <v>2</v>
      </c>
      <c r="B3" s="50">
        <v>330000</v>
      </c>
      <c r="C3" s="50" t="s">
        <v>53</v>
      </c>
      <c r="D3" s="49" t="s">
        <v>118</v>
      </c>
      <c r="E3" t="s">
        <v>225</v>
      </c>
    </row>
    <row r="4" spans="1:5">
      <c r="A4" s="50">
        <v>3</v>
      </c>
      <c r="B4" s="50">
        <v>220000</v>
      </c>
      <c r="C4" s="50" t="s">
        <v>53</v>
      </c>
      <c r="D4" s="49" t="s">
        <v>119</v>
      </c>
      <c r="E4" t="s">
        <v>226</v>
      </c>
    </row>
    <row r="5" spans="1:5">
      <c r="A5" s="50">
        <v>4</v>
      </c>
      <c r="B5" s="50">
        <v>110000</v>
      </c>
      <c r="C5" s="50" t="s">
        <v>53</v>
      </c>
      <c r="D5" s="49" t="s">
        <v>120</v>
      </c>
      <c r="E5" t="s">
        <v>227</v>
      </c>
    </row>
    <row r="6" spans="1:5">
      <c r="A6" s="50">
        <v>5</v>
      </c>
      <c r="B6" s="50">
        <v>380000</v>
      </c>
      <c r="C6" s="50" t="s">
        <v>53</v>
      </c>
      <c r="D6" s="49" t="s">
        <v>121</v>
      </c>
    </row>
    <row r="7" spans="1:5">
      <c r="A7" s="50">
        <v>6</v>
      </c>
      <c r="B7" s="50">
        <v>260000</v>
      </c>
      <c r="C7" s="50" t="s">
        <v>53</v>
      </c>
      <c r="D7" s="49" t="s">
        <v>122</v>
      </c>
    </row>
    <row r="8" spans="1:5">
      <c r="A8" s="50">
        <v>7</v>
      </c>
      <c r="B8" s="50">
        <v>130000</v>
      </c>
      <c r="C8" s="50" t="s">
        <v>53</v>
      </c>
      <c r="D8" s="49" t="s">
        <v>123</v>
      </c>
    </row>
    <row r="9" spans="1:5">
      <c r="A9" s="50">
        <v>8</v>
      </c>
      <c r="B9" s="50">
        <v>330000</v>
      </c>
      <c r="C9" s="50" t="s">
        <v>53</v>
      </c>
      <c r="D9" s="49" t="s">
        <v>124</v>
      </c>
      <c r="E9" t="s">
        <v>228</v>
      </c>
    </row>
    <row r="10" spans="1:5">
      <c r="A10" s="50">
        <v>9</v>
      </c>
      <c r="B10" s="50">
        <v>330000</v>
      </c>
      <c r="C10" s="50" t="s">
        <v>53</v>
      </c>
      <c r="D10" s="49" t="s">
        <v>125</v>
      </c>
      <c r="E10" t="s">
        <v>229</v>
      </c>
    </row>
    <row r="11" spans="1:5">
      <c r="A11" s="50">
        <v>10</v>
      </c>
      <c r="B11" s="50">
        <v>330000</v>
      </c>
      <c r="C11" s="50" t="s">
        <v>53</v>
      </c>
      <c r="D11" s="49" t="s">
        <v>126</v>
      </c>
      <c r="E11" t="s">
        <v>230</v>
      </c>
    </row>
    <row r="12" spans="1:5">
      <c r="A12" s="50">
        <v>11</v>
      </c>
      <c r="B12" s="50">
        <v>310000</v>
      </c>
      <c r="C12" s="50" t="s">
        <v>53</v>
      </c>
      <c r="D12" s="49" t="s">
        <v>127</v>
      </c>
      <c r="E12" t="s">
        <v>231</v>
      </c>
    </row>
    <row r="13" spans="1:5">
      <c r="A13" s="50">
        <v>12</v>
      </c>
      <c r="B13" s="50">
        <v>260000</v>
      </c>
      <c r="C13" s="50" t="s">
        <v>53</v>
      </c>
      <c r="D13" s="49" t="s">
        <v>128</v>
      </c>
      <c r="E13" t="s">
        <v>232</v>
      </c>
    </row>
    <row r="14" spans="1:5">
      <c r="A14" s="50">
        <v>13</v>
      </c>
      <c r="B14" s="50">
        <v>210000</v>
      </c>
      <c r="C14" s="50" t="s">
        <v>53</v>
      </c>
      <c r="D14" s="49" t="s">
        <v>129</v>
      </c>
      <c r="E14" t="s">
        <v>233</v>
      </c>
    </row>
    <row r="15" spans="1:5">
      <c r="A15" s="50">
        <v>14</v>
      </c>
      <c r="B15" s="50">
        <v>160000</v>
      </c>
      <c r="C15" s="50" t="s">
        <v>53</v>
      </c>
      <c r="D15" s="49" t="s">
        <v>130</v>
      </c>
      <c r="E15" t="s">
        <v>234</v>
      </c>
    </row>
    <row r="16" spans="1:5">
      <c r="A16" s="50">
        <v>15</v>
      </c>
      <c r="B16" s="50">
        <v>110000</v>
      </c>
      <c r="C16" s="50" t="s">
        <v>53</v>
      </c>
      <c r="D16" s="49" t="s">
        <v>131</v>
      </c>
      <c r="E16" t="s">
        <v>235</v>
      </c>
    </row>
    <row r="17" spans="1:5">
      <c r="A17" s="50">
        <v>16</v>
      </c>
      <c r="B17" s="50">
        <v>60000</v>
      </c>
      <c r="C17" s="50" t="s">
        <v>53</v>
      </c>
      <c r="D17" s="49" t="s">
        <v>132</v>
      </c>
      <c r="E17" t="s">
        <v>236</v>
      </c>
    </row>
    <row r="18" spans="1:5">
      <c r="A18" s="50">
        <v>17</v>
      </c>
      <c r="B18" s="50">
        <v>30000</v>
      </c>
      <c r="C18" s="50" t="s">
        <v>53</v>
      </c>
      <c r="D18" s="49" t="s">
        <v>133</v>
      </c>
      <c r="E18" t="s">
        <v>237</v>
      </c>
    </row>
    <row r="19" spans="1:5">
      <c r="A19" s="50">
        <v>18</v>
      </c>
      <c r="B19" s="50">
        <v>220000</v>
      </c>
      <c r="C19" s="50" t="s">
        <v>53</v>
      </c>
      <c r="D19" s="49" t="s">
        <v>134</v>
      </c>
      <c r="E19" t="s">
        <v>238</v>
      </c>
    </row>
    <row r="20" spans="1:5">
      <c r="A20" s="50">
        <v>19</v>
      </c>
      <c r="B20" s="50">
        <v>220000</v>
      </c>
      <c r="C20" s="50" t="s">
        <v>53</v>
      </c>
      <c r="D20" s="49" t="s">
        <v>135</v>
      </c>
      <c r="E20" t="s">
        <v>239</v>
      </c>
    </row>
    <row r="21" spans="1:5">
      <c r="A21" s="50">
        <v>20</v>
      </c>
      <c r="B21" s="50">
        <v>220000</v>
      </c>
      <c r="C21" s="50" t="s">
        <v>53</v>
      </c>
      <c r="D21" s="49" t="s">
        <v>136</v>
      </c>
      <c r="E21" t="s">
        <v>240</v>
      </c>
    </row>
    <row r="22" spans="1:5">
      <c r="A22" s="50">
        <v>21</v>
      </c>
      <c r="B22" s="50">
        <v>210000</v>
      </c>
      <c r="C22" s="50" t="s">
        <v>53</v>
      </c>
      <c r="D22" s="49" t="s">
        <v>137</v>
      </c>
      <c r="E22" t="s">
        <v>241</v>
      </c>
    </row>
    <row r="23" spans="1:5">
      <c r="A23" s="50">
        <v>22</v>
      </c>
      <c r="B23" s="50">
        <v>180000</v>
      </c>
      <c r="C23" s="50" t="s">
        <v>53</v>
      </c>
      <c r="D23" s="49" t="s">
        <v>138</v>
      </c>
      <c r="E23" t="s">
        <v>242</v>
      </c>
    </row>
    <row r="24" spans="1:5">
      <c r="A24" s="50">
        <v>23</v>
      </c>
      <c r="B24" s="50">
        <v>140000</v>
      </c>
      <c r="C24" s="50" t="s">
        <v>53</v>
      </c>
      <c r="D24" s="49" t="s">
        <v>139</v>
      </c>
      <c r="E24" t="s">
        <v>243</v>
      </c>
    </row>
    <row r="25" spans="1:5">
      <c r="A25" s="50">
        <v>24</v>
      </c>
      <c r="B25" s="50">
        <v>110000</v>
      </c>
      <c r="C25" s="50" t="s">
        <v>53</v>
      </c>
      <c r="D25" s="49" t="s">
        <v>140</v>
      </c>
      <c r="E25" t="s">
        <v>244</v>
      </c>
    </row>
    <row r="26" spans="1:5">
      <c r="A26" s="50">
        <v>25</v>
      </c>
      <c r="B26" s="50">
        <v>80000</v>
      </c>
      <c r="C26" s="50" t="s">
        <v>53</v>
      </c>
      <c r="D26" s="49" t="s">
        <v>141</v>
      </c>
      <c r="E26" t="s">
        <v>245</v>
      </c>
    </row>
    <row r="27" spans="1:5">
      <c r="A27" s="50">
        <v>26</v>
      </c>
      <c r="B27" s="50">
        <v>40000</v>
      </c>
      <c r="C27" s="50" t="s">
        <v>53</v>
      </c>
      <c r="D27" s="49" t="s">
        <v>142</v>
      </c>
      <c r="E27" t="s">
        <v>246</v>
      </c>
    </row>
    <row r="28" spans="1:5">
      <c r="A28" s="50">
        <v>27</v>
      </c>
      <c r="B28" s="50">
        <v>20000</v>
      </c>
      <c r="C28" s="50" t="s">
        <v>53</v>
      </c>
      <c r="D28" s="49" t="s">
        <v>143</v>
      </c>
      <c r="E28" t="s">
        <v>247</v>
      </c>
    </row>
    <row r="29" spans="1:5">
      <c r="A29" s="50">
        <v>28</v>
      </c>
      <c r="B29" s="50">
        <v>110000</v>
      </c>
      <c r="C29" s="50" t="s">
        <v>53</v>
      </c>
      <c r="D29" s="49" t="s">
        <v>144</v>
      </c>
      <c r="E29" t="s">
        <v>248</v>
      </c>
    </row>
    <row r="30" spans="1:5">
      <c r="A30" s="50">
        <v>29</v>
      </c>
      <c r="B30" s="50">
        <v>110000</v>
      </c>
      <c r="C30" s="50" t="s">
        <v>53</v>
      </c>
      <c r="D30" s="49" t="s">
        <v>145</v>
      </c>
      <c r="E30" t="s">
        <v>249</v>
      </c>
    </row>
    <row r="31" spans="1:5">
      <c r="A31" s="50">
        <v>30</v>
      </c>
      <c r="B31" s="50">
        <v>110000</v>
      </c>
      <c r="C31" s="50" t="s">
        <v>53</v>
      </c>
      <c r="D31" s="49" t="s">
        <v>146</v>
      </c>
      <c r="E31" t="s">
        <v>250</v>
      </c>
    </row>
    <row r="32" spans="1:5">
      <c r="A32" s="50">
        <v>31</v>
      </c>
      <c r="B32" s="50">
        <v>110000</v>
      </c>
      <c r="C32" s="50" t="s">
        <v>53</v>
      </c>
      <c r="D32" s="49" t="s">
        <v>147</v>
      </c>
      <c r="E32" t="s">
        <v>251</v>
      </c>
    </row>
    <row r="33" spans="1:5">
      <c r="A33" s="50">
        <v>32</v>
      </c>
      <c r="B33" s="50">
        <v>90000</v>
      </c>
      <c r="C33" s="50" t="s">
        <v>53</v>
      </c>
      <c r="D33" s="49" t="s">
        <v>148</v>
      </c>
      <c r="E33" t="s">
        <v>252</v>
      </c>
    </row>
    <row r="34" spans="1:5">
      <c r="A34" s="50">
        <v>33</v>
      </c>
      <c r="B34" s="50">
        <v>70000</v>
      </c>
      <c r="C34" s="50" t="s">
        <v>53</v>
      </c>
      <c r="D34" s="49" t="s">
        <v>149</v>
      </c>
      <c r="E34" t="s">
        <v>253</v>
      </c>
    </row>
    <row r="35" spans="1:5">
      <c r="A35" s="50">
        <v>34</v>
      </c>
      <c r="B35" s="50">
        <v>60000</v>
      </c>
      <c r="C35" s="50" t="s">
        <v>53</v>
      </c>
      <c r="D35" s="49" t="s">
        <v>150</v>
      </c>
      <c r="E35" t="s">
        <v>254</v>
      </c>
    </row>
    <row r="36" spans="1:5">
      <c r="A36" s="50">
        <v>35</v>
      </c>
      <c r="B36" s="50">
        <v>40000</v>
      </c>
      <c r="C36" s="50" t="s">
        <v>53</v>
      </c>
      <c r="D36" s="49" t="s">
        <v>151</v>
      </c>
      <c r="E36" t="s">
        <v>255</v>
      </c>
    </row>
    <row r="37" spans="1:5">
      <c r="A37" s="50">
        <v>36</v>
      </c>
      <c r="B37" s="50">
        <v>20000</v>
      </c>
      <c r="C37" s="50" t="s">
        <v>53</v>
      </c>
      <c r="D37" s="49" t="s">
        <v>152</v>
      </c>
      <c r="E37" t="s">
        <v>256</v>
      </c>
    </row>
    <row r="38" spans="1:5">
      <c r="A38" s="50">
        <v>37</v>
      </c>
      <c r="B38" s="50">
        <v>10000</v>
      </c>
      <c r="C38" s="50" t="s">
        <v>53</v>
      </c>
      <c r="D38" s="49" t="s">
        <v>153</v>
      </c>
      <c r="E38" t="s">
        <v>257</v>
      </c>
    </row>
    <row r="39" spans="1:5">
      <c r="A39" s="50">
        <v>38</v>
      </c>
      <c r="B39" s="50">
        <v>330000</v>
      </c>
      <c r="C39" s="50" t="s">
        <v>53</v>
      </c>
      <c r="D39" s="49" t="s">
        <v>18</v>
      </c>
    </row>
    <row r="40" spans="1:5">
      <c r="A40" s="50">
        <v>39</v>
      </c>
      <c r="B40" s="50">
        <v>450000</v>
      </c>
      <c r="C40" s="50" t="s">
        <v>53</v>
      </c>
      <c r="D40" s="49" t="s">
        <v>19</v>
      </c>
    </row>
    <row r="41" spans="1:5">
      <c r="A41" s="50">
        <v>40</v>
      </c>
      <c r="B41" s="50">
        <v>380000</v>
      </c>
      <c r="C41" s="50" t="s">
        <v>53</v>
      </c>
      <c r="D41" s="49" t="s">
        <v>20</v>
      </c>
    </row>
    <row r="42" spans="1:5">
      <c r="A42" s="50">
        <v>41</v>
      </c>
      <c r="B42" s="50">
        <v>450000</v>
      </c>
      <c r="C42" s="50" t="s">
        <v>53</v>
      </c>
      <c r="D42" s="49" t="s">
        <v>154</v>
      </c>
    </row>
    <row r="43" spans="1:5">
      <c r="A43" s="50">
        <v>42</v>
      </c>
      <c r="B43" s="50">
        <v>0</v>
      </c>
      <c r="C43" s="50" t="s">
        <v>53</v>
      </c>
      <c r="D43" s="49" t="s">
        <v>155</v>
      </c>
    </row>
    <row r="44" spans="1:5">
      <c r="A44" s="50">
        <v>43</v>
      </c>
      <c r="B44" s="50">
        <v>260000</v>
      </c>
      <c r="C44" s="50" t="s">
        <v>53</v>
      </c>
      <c r="D44" s="49" t="s">
        <v>22</v>
      </c>
    </row>
    <row r="45" spans="1:5">
      <c r="A45" s="50">
        <v>44</v>
      </c>
      <c r="B45" s="50">
        <v>300000</v>
      </c>
      <c r="C45" s="50" t="s">
        <v>53</v>
      </c>
      <c r="D45" s="49" t="s">
        <v>23</v>
      </c>
    </row>
    <row r="46" spans="1:5">
      <c r="A46" s="50">
        <v>45</v>
      </c>
      <c r="B46" s="50">
        <v>530000</v>
      </c>
      <c r="C46" s="50" t="s">
        <v>53</v>
      </c>
      <c r="D46" s="49" t="s">
        <v>24</v>
      </c>
    </row>
    <row r="47" spans="1:5">
      <c r="A47" s="50">
        <v>46</v>
      </c>
      <c r="B47" s="50">
        <v>260000</v>
      </c>
      <c r="C47" s="50" t="s">
        <v>53</v>
      </c>
      <c r="D47" s="49" t="s">
        <v>25</v>
      </c>
    </row>
    <row r="48" spans="1:5">
      <c r="A48" s="50">
        <v>47</v>
      </c>
      <c r="B48" s="50">
        <v>300000</v>
      </c>
      <c r="C48" s="50" t="s">
        <v>53</v>
      </c>
      <c r="D48" s="49" t="s">
        <v>156</v>
      </c>
    </row>
    <row r="49" spans="1:4">
      <c r="A49" s="50">
        <v>48</v>
      </c>
      <c r="B49" s="50">
        <v>260000</v>
      </c>
      <c r="C49" s="50" t="s">
        <v>53</v>
      </c>
      <c r="D49" s="49" t="s">
        <v>27</v>
      </c>
    </row>
    <row r="50" spans="1:4">
      <c r="A50" s="50">
        <v>49</v>
      </c>
      <c r="B50" s="50">
        <v>260000</v>
      </c>
      <c r="C50" s="50" t="s">
        <v>53</v>
      </c>
      <c r="D50" s="49" t="s">
        <v>157</v>
      </c>
    </row>
    <row r="51" spans="1:4">
      <c r="A51" s="50">
        <v>50</v>
      </c>
      <c r="B51" s="50">
        <v>350000</v>
      </c>
      <c r="C51" s="50" t="s">
        <v>53</v>
      </c>
      <c r="D51" s="49" t="s">
        <v>158</v>
      </c>
    </row>
    <row r="52" spans="1:4">
      <c r="A52" s="50">
        <v>51</v>
      </c>
      <c r="B52" s="50">
        <v>320000</v>
      </c>
      <c r="C52" s="50" t="s">
        <v>53</v>
      </c>
      <c r="D52" s="49" t="s">
        <v>159</v>
      </c>
    </row>
    <row r="53" spans="1:4">
      <c r="A53" s="50">
        <v>52</v>
      </c>
      <c r="B53" s="50">
        <v>1250000</v>
      </c>
      <c r="C53" s="50" t="s">
        <v>53</v>
      </c>
      <c r="D53" s="49" t="s">
        <v>160</v>
      </c>
    </row>
    <row r="54" spans="1:4">
      <c r="A54" s="50">
        <v>53</v>
      </c>
      <c r="B54" s="50">
        <v>5000000</v>
      </c>
      <c r="C54" s="50" t="s">
        <v>53</v>
      </c>
      <c r="D54" s="49" t="s">
        <v>161</v>
      </c>
    </row>
    <row r="55" spans="1:4">
      <c r="A55" s="49">
        <v>54</v>
      </c>
      <c r="B55" s="49">
        <v>150000</v>
      </c>
      <c r="C55" s="49" t="s">
        <v>53</v>
      </c>
      <c r="D55" s="51" t="s">
        <v>162</v>
      </c>
    </row>
    <row r="56" spans="1:4">
      <c r="A56" s="51">
        <v>55</v>
      </c>
      <c r="B56" s="51">
        <v>100000</v>
      </c>
      <c r="C56" s="51" t="s">
        <v>53</v>
      </c>
      <c r="D56" s="51" t="s">
        <v>163</v>
      </c>
    </row>
    <row r="57" spans="1:4">
      <c r="A57" s="374">
        <v>56</v>
      </c>
      <c r="B57" s="374">
        <v>650000</v>
      </c>
      <c r="C57" s="374" t="s">
        <v>53</v>
      </c>
      <c r="D57" s="377" t="s">
        <v>164</v>
      </c>
    </row>
    <row r="58" spans="1:4">
      <c r="A58" s="377">
        <v>57</v>
      </c>
      <c r="B58" s="377">
        <v>290000</v>
      </c>
      <c r="C58" s="377" t="s">
        <v>53</v>
      </c>
      <c r="D58" s="377" t="s">
        <v>602</v>
      </c>
    </row>
    <row r="59" spans="1:4">
      <c r="A59" s="377">
        <v>58</v>
      </c>
      <c r="B59" s="377">
        <v>150000</v>
      </c>
      <c r="C59" s="377" t="s">
        <v>53</v>
      </c>
      <c r="D59" s="377" t="s">
        <v>603</v>
      </c>
    </row>
  </sheetData>
  <phoneticPr fontId="2"/>
  <pageMargins left="0.7" right="0.7" top="0.75" bottom="0.75" header="0.3" footer="0.3"/>
  <pageSetup paperSize="9"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topLeftCell="A16" zoomScaleNormal="100" workbookViewId="0">
      <selection activeCell="B7" sqref="B7"/>
    </sheetView>
  </sheetViews>
  <sheetFormatPr defaultRowHeight="13.5"/>
  <cols>
    <col min="2" max="2" width="11.625" bestFit="1" customWidth="1"/>
    <col min="4" max="4" width="45" style="55" bestFit="1" customWidth="1"/>
  </cols>
  <sheetData>
    <row r="1" spans="1:5">
      <c r="A1" s="50" t="s">
        <v>170</v>
      </c>
      <c r="B1" s="50" t="s">
        <v>50</v>
      </c>
      <c r="C1" s="50" t="s">
        <v>51</v>
      </c>
      <c r="D1" s="49" t="s">
        <v>52</v>
      </c>
    </row>
    <row r="2" spans="1:5">
      <c r="A2" s="50">
        <v>1</v>
      </c>
      <c r="B2" s="50">
        <v>50000</v>
      </c>
      <c r="C2" s="50" t="s">
        <v>53</v>
      </c>
      <c r="D2" s="49" t="s">
        <v>31</v>
      </c>
    </row>
    <row r="3" spans="1:5">
      <c r="A3" s="50">
        <v>2</v>
      </c>
      <c r="B3" s="50">
        <v>50000</v>
      </c>
      <c r="C3" s="50" t="s">
        <v>53</v>
      </c>
      <c r="D3" s="49" t="s">
        <v>118</v>
      </c>
      <c r="E3" t="s">
        <v>258</v>
      </c>
    </row>
    <row r="4" spans="1:5">
      <c r="A4" s="50">
        <v>3</v>
      </c>
      <c r="B4" s="50">
        <v>40000</v>
      </c>
      <c r="C4" s="50" t="s">
        <v>53</v>
      </c>
      <c r="D4" s="49" t="s">
        <v>119</v>
      </c>
      <c r="E4" t="s">
        <v>258</v>
      </c>
    </row>
    <row r="5" spans="1:5">
      <c r="A5" s="50">
        <v>4</v>
      </c>
      <c r="B5" s="50">
        <v>20000</v>
      </c>
      <c r="C5" s="50" t="s">
        <v>53</v>
      </c>
      <c r="D5" s="49" t="s">
        <v>120</v>
      </c>
      <c r="E5" t="s">
        <v>258</v>
      </c>
    </row>
    <row r="6" spans="1:5">
      <c r="A6" s="50">
        <v>5</v>
      </c>
      <c r="B6" s="50">
        <v>100000</v>
      </c>
      <c r="C6" s="50" t="s">
        <v>53</v>
      </c>
      <c r="D6" s="49" t="s">
        <v>121</v>
      </c>
    </row>
    <row r="7" spans="1:5">
      <c r="A7" s="50">
        <v>6</v>
      </c>
      <c r="B7" s="50">
        <v>60000</v>
      </c>
      <c r="C7" s="50" t="s">
        <v>53</v>
      </c>
      <c r="D7" s="49" t="s">
        <v>122</v>
      </c>
    </row>
    <row r="8" spans="1:5">
      <c r="A8" s="50">
        <v>7</v>
      </c>
      <c r="B8" s="50">
        <v>30000</v>
      </c>
      <c r="C8" s="50" t="s">
        <v>53</v>
      </c>
      <c r="D8" s="49" t="s">
        <v>123</v>
      </c>
    </row>
    <row r="9" spans="1:5">
      <c r="A9" s="50">
        <v>8</v>
      </c>
      <c r="B9" s="50">
        <v>50000</v>
      </c>
      <c r="C9" s="50" t="s">
        <v>53</v>
      </c>
      <c r="D9" s="49" t="s">
        <v>124</v>
      </c>
      <c r="E9" t="s">
        <v>259</v>
      </c>
    </row>
    <row r="10" spans="1:5">
      <c r="A10" s="50">
        <v>9</v>
      </c>
      <c r="B10" s="50">
        <v>30000</v>
      </c>
      <c r="C10" s="50" t="s">
        <v>53</v>
      </c>
      <c r="D10" s="49" t="s">
        <v>125</v>
      </c>
      <c r="E10" t="s">
        <v>260</v>
      </c>
    </row>
    <row r="11" spans="1:5">
      <c r="A11" s="50">
        <v>10</v>
      </c>
      <c r="B11" s="50">
        <v>0</v>
      </c>
      <c r="C11" s="50" t="s">
        <v>53</v>
      </c>
      <c r="D11" s="49" t="s">
        <v>126</v>
      </c>
    </row>
    <row r="12" spans="1:5">
      <c r="A12" s="50">
        <v>11</v>
      </c>
      <c r="B12" s="50">
        <v>0</v>
      </c>
      <c r="C12" s="50" t="s">
        <v>53</v>
      </c>
      <c r="D12" s="49" t="s">
        <v>127</v>
      </c>
    </row>
    <row r="13" spans="1:5">
      <c r="A13" s="50">
        <v>12</v>
      </c>
      <c r="B13" s="50">
        <v>0</v>
      </c>
      <c r="C13" s="50" t="s">
        <v>53</v>
      </c>
      <c r="D13" s="49" t="s">
        <v>128</v>
      </c>
    </row>
    <row r="14" spans="1:5">
      <c r="A14" s="50">
        <v>13</v>
      </c>
      <c r="B14" s="50">
        <v>0</v>
      </c>
      <c r="C14" s="50" t="s">
        <v>53</v>
      </c>
      <c r="D14" s="49" t="s">
        <v>129</v>
      </c>
    </row>
    <row r="15" spans="1:5">
      <c r="A15" s="50">
        <v>14</v>
      </c>
      <c r="B15" s="50">
        <v>0</v>
      </c>
      <c r="C15" s="50" t="s">
        <v>53</v>
      </c>
      <c r="D15" s="49" t="s">
        <v>130</v>
      </c>
    </row>
    <row r="16" spans="1:5">
      <c r="A16" s="50">
        <v>15</v>
      </c>
      <c r="B16" s="50">
        <v>0</v>
      </c>
      <c r="C16" s="50" t="s">
        <v>53</v>
      </c>
      <c r="D16" s="49" t="s">
        <v>131</v>
      </c>
    </row>
    <row r="17" spans="1:5">
      <c r="A17" s="50">
        <v>16</v>
      </c>
      <c r="B17" s="50">
        <v>0</v>
      </c>
      <c r="C17" s="50" t="s">
        <v>53</v>
      </c>
      <c r="D17" s="49" t="s">
        <v>132</v>
      </c>
    </row>
    <row r="18" spans="1:5">
      <c r="A18" s="50">
        <v>17</v>
      </c>
      <c r="B18" s="50">
        <v>0</v>
      </c>
      <c r="C18" s="50" t="s">
        <v>53</v>
      </c>
      <c r="D18" s="49" t="s">
        <v>133</v>
      </c>
    </row>
    <row r="19" spans="1:5">
      <c r="A19" s="50">
        <v>18</v>
      </c>
      <c r="B19" s="50">
        <v>40000</v>
      </c>
      <c r="C19" s="50" t="s">
        <v>53</v>
      </c>
      <c r="D19" s="49" t="s">
        <v>134</v>
      </c>
      <c r="E19" t="s">
        <v>259</v>
      </c>
    </row>
    <row r="20" spans="1:5">
      <c r="A20" s="50">
        <v>19</v>
      </c>
      <c r="B20" s="50">
        <v>20000</v>
      </c>
      <c r="C20" s="50" t="s">
        <v>53</v>
      </c>
      <c r="D20" s="49" t="s">
        <v>135</v>
      </c>
      <c r="E20" t="s">
        <v>260</v>
      </c>
    </row>
    <row r="21" spans="1:5">
      <c r="A21" s="50">
        <v>20</v>
      </c>
      <c r="B21" s="50">
        <v>0</v>
      </c>
      <c r="C21" s="50" t="s">
        <v>53</v>
      </c>
      <c r="D21" s="49" t="s">
        <v>136</v>
      </c>
    </row>
    <row r="22" spans="1:5">
      <c r="A22" s="50">
        <v>21</v>
      </c>
      <c r="B22" s="50">
        <v>0</v>
      </c>
      <c r="C22" s="50" t="s">
        <v>53</v>
      </c>
      <c r="D22" s="49" t="s">
        <v>137</v>
      </c>
    </row>
    <row r="23" spans="1:5">
      <c r="A23" s="50">
        <v>22</v>
      </c>
      <c r="B23" s="50">
        <v>0</v>
      </c>
      <c r="C23" s="50" t="s">
        <v>53</v>
      </c>
      <c r="D23" s="49" t="s">
        <v>138</v>
      </c>
    </row>
    <row r="24" spans="1:5">
      <c r="A24" s="50">
        <v>23</v>
      </c>
      <c r="B24" s="50">
        <v>0</v>
      </c>
      <c r="C24" s="50" t="s">
        <v>53</v>
      </c>
      <c r="D24" s="49" t="s">
        <v>139</v>
      </c>
    </row>
    <row r="25" spans="1:5">
      <c r="A25" s="50">
        <v>24</v>
      </c>
      <c r="B25" s="50">
        <v>0</v>
      </c>
      <c r="C25" s="50" t="s">
        <v>53</v>
      </c>
      <c r="D25" s="49" t="s">
        <v>140</v>
      </c>
    </row>
    <row r="26" spans="1:5">
      <c r="A26" s="50">
        <v>25</v>
      </c>
      <c r="B26" s="50">
        <v>0</v>
      </c>
      <c r="C26" s="50" t="s">
        <v>53</v>
      </c>
      <c r="D26" s="49" t="s">
        <v>141</v>
      </c>
    </row>
    <row r="27" spans="1:5">
      <c r="A27" s="50">
        <v>26</v>
      </c>
      <c r="B27" s="50">
        <v>0</v>
      </c>
      <c r="C27" s="50" t="s">
        <v>53</v>
      </c>
      <c r="D27" s="49" t="s">
        <v>142</v>
      </c>
    </row>
    <row r="28" spans="1:5">
      <c r="A28" s="50">
        <v>27</v>
      </c>
      <c r="B28" s="50">
        <v>0</v>
      </c>
      <c r="C28" s="50" t="s">
        <v>53</v>
      </c>
      <c r="D28" s="49" t="s">
        <v>143</v>
      </c>
    </row>
    <row r="29" spans="1:5">
      <c r="A29" s="50">
        <v>28</v>
      </c>
      <c r="B29" s="50">
        <v>20000</v>
      </c>
      <c r="C29" s="50" t="s">
        <v>53</v>
      </c>
      <c r="D29" s="49" t="s">
        <v>144</v>
      </c>
      <c r="E29" t="s">
        <v>259</v>
      </c>
    </row>
    <row r="30" spans="1:5">
      <c r="A30" s="50">
        <v>29</v>
      </c>
      <c r="B30" s="50">
        <v>10000</v>
      </c>
      <c r="C30" s="50" t="s">
        <v>53</v>
      </c>
      <c r="D30" s="49" t="s">
        <v>145</v>
      </c>
      <c r="E30" t="s">
        <v>260</v>
      </c>
    </row>
    <row r="31" spans="1:5">
      <c r="A31" s="50">
        <v>30</v>
      </c>
      <c r="B31" s="50">
        <v>0</v>
      </c>
      <c r="C31" s="50" t="s">
        <v>53</v>
      </c>
      <c r="D31" s="49" t="s">
        <v>146</v>
      </c>
    </row>
    <row r="32" spans="1:5">
      <c r="A32" s="50">
        <v>31</v>
      </c>
      <c r="B32" s="50">
        <v>0</v>
      </c>
      <c r="C32" s="50" t="s">
        <v>53</v>
      </c>
      <c r="D32" s="49" t="s">
        <v>147</v>
      </c>
    </row>
    <row r="33" spans="1:4">
      <c r="A33" s="50">
        <v>32</v>
      </c>
      <c r="B33" s="50">
        <v>0</v>
      </c>
      <c r="C33" s="50" t="s">
        <v>53</v>
      </c>
      <c r="D33" s="49" t="s">
        <v>148</v>
      </c>
    </row>
    <row r="34" spans="1:4">
      <c r="A34" s="50">
        <v>33</v>
      </c>
      <c r="B34" s="50">
        <v>0</v>
      </c>
      <c r="C34" s="50" t="s">
        <v>53</v>
      </c>
      <c r="D34" s="49" t="s">
        <v>149</v>
      </c>
    </row>
    <row r="35" spans="1:4">
      <c r="A35" s="50">
        <v>34</v>
      </c>
      <c r="B35" s="50">
        <v>0</v>
      </c>
      <c r="C35" s="50" t="s">
        <v>53</v>
      </c>
      <c r="D35" s="49" t="s">
        <v>150</v>
      </c>
    </row>
    <row r="36" spans="1:4">
      <c r="A36" s="50">
        <v>35</v>
      </c>
      <c r="B36" s="50">
        <v>0</v>
      </c>
      <c r="C36" s="50" t="s">
        <v>53</v>
      </c>
      <c r="D36" s="49" t="s">
        <v>151</v>
      </c>
    </row>
    <row r="37" spans="1:4">
      <c r="A37" s="50">
        <v>36</v>
      </c>
      <c r="B37" s="50">
        <v>0</v>
      </c>
      <c r="C37" s="50" t="s">
        <v>53</v>
      </c>
      <c r="D37" s="49" t="s">
        <v>152</v>
      </c>
    </row>
    <row r="38" spans="1:4">
      <c r="A38" s="50">
        <v>37</v>
      </c>
      <c r="B38" s="50">
        <v>0</v>
      </c>
      <c r="C38" s="50" t="s">
        <v>53</v>
      </c>
      <c r="D38" s="49" t="s">
        <v>153</v>
      </c>
    </row>
    <row r="39" spans="1:4">
      <c r="A39" s="50">
        <v>38</v>
      </c>
      <c r="B39" s="50">
        <v>50000</v>
      </c>
      <c r="C39" s="50" t="s">
        <v>53</v>
      </c>
      <c r="D39" s="49" t="s">
        <v>18</v>
      </c>
    </row>
    <row r="40" spans="1:4">
      <c r="A40" s="50">
        <v>39</v>
      </c>
      <c r="B40" s="50">
        <v>180000</v>
      </c>
      <c r="C40" s="50" t="s">
        <v>53</v>
      </c>
      <c r="D40" s="49" t="s">
        <v>19</v>
      </c>
    </row>
    <row r="41" spans="1:4">
      <c r="A41" s="50">
        <v>40</v>
      </c>
      <c r="B41" s="50">
        <v>100000</v>
      </c>
      <c r="C41" s="50" t="s">
        <v>53</v>
      </c>
      <c r="D41" s="49" t="s">
        <v>20</v>
      </c>
    </row>
    <row r="42" spans="1:4">
      <c r="A42" s="50">
        <v>41</v>
      </c>
      <c r="B42" s="50">
        <v>130000</v>
      </c>
      <c r="C42" s="50" t="s">
        <v>53</v>
      </c>
      <c r="D42" s="49" t="s">
        <v>154</v>
      </c>
    </row>
    <row r="43" spans="1:4">
      <c r="A43" s="50">
        <v>42</v>
      </c>
      <c r="B43" s="50">
        <v>0</v>
      </c>
      <c r="C43" s="50" t="s">
        <v>53</v>
      </c>
      <c r="D43" s="49" t="s">
        <v>155</v>
      </c>
    </row>
    <row r="44" spans="1:4">
      <c r="A44" s="50">
        <v>43</v>
      </c>
      <c r="B44" s="50">
        <v>10000</v>
      </c>
      <c r="C44" s="50" t="s">
        <v>53</v>
      </c>
      <c r="D44" s="49" t="s">
        <v>22</v>
      </c>
    </row>
    <row r="45" spans="1:4">
      <c r="A45" s="50">
        <v>44</v>
      </c>
      <c r="B45" s="50">
        <v>100000</v>
      </c>
      <c r="C45" s="50" t="s">
        <v>53</v>
      </c>
      <c r="D45" s="49" t="s">
        <v>23</v>
      </c>
    </row>
    <row r="46" spans="1:4">
      <c r="A46" s="50">
        <v>45</v>
      </c>
      <c r="B46" s="50">
        <v>220000</v>
      </c>
      <c r="C46" s="50" t="s">
        <v>53</v>
      </c>
      <c r="D46" s="49" t="s">
        <v>24</v>
      </c>
    </row>
    <row r="47" spans="1:4">
      <c r="A47" s="50">
        <v>46</v>
      </c>
      <c r="B47" s="50">
        <v>10000</v>
      </c>
      <c r="C47" s="50" t="s">
        <v>53</v>
      </c>
      <c r="D47" s="49" t="s">
        <v>25</v>
      </c>
    </row>
    <row r="48" spans="1:4">
      <c r="A48" s="50">
        <v>47</v>
      </c>
      <c r="B48" s="50">
        <v>50000</v>
      </c>
      <c r="C48" s="50" t="s">
        <v>53</v>
      </c>
      <c r="D48" s="49" t="s">
        <v>156</v>
      </c>
    </row>
    <row r="49" spans="1:4">
      <c r="A49" s="50">
        <v>48</v>
      </c>
      <c r="B49" s="50">
        <v>10000</v>
      </c>
      <c r="C49" s="50" t="s">
        <v>53</v>
      </c>
      <c r="D49" s="49" t="s">
        <v>27</v>
      </c>
    </row>
    <row r="50" spans="1:4">
      <c r="A50" s="50">
        <v>49</v>
      </c>
      <c r="B50" s="50">
        <v>10000</v>
      </c>
      <c r="C50" s="50" t="s">
        <v>53</v>
      </c>
      <c r="D50" s="49" t="s">
        <v>157</v>
      </c>
    </row>
    <row r="51" spans="1:4">
      <c r="A51" s="50">
        <v>50</v>
      </c>
      <c r="B51" s="50">
        <v>2000000</v>
      </c>
      <c r="C51" s="50" t="s">
        <v>53</v>
      </c>
      <c r="D51" s="49" t="s">
        <v>165</v>
      </c>
    </row>
    <row r="52" spans="1:4">
      <c r="A52" s="50">
        <v>51</v>
      </c>
      <c r="B52" s="50">
        <v>3</v>
      </c>
      <c r="C52" s="50" t="s">
        <v>53</v>
      </c>
      <c r="D52" s="49" t="s">
        <v>166</v>
      </c>
    </row>
    <row r="53" spans="1:4">
      <c r="A53" s="50">
        <v>52</v>
      </c>
      <c r="B53" s="50">
        <v>1500</v>
      </c>
      <c r="C53" s="50" t="s">
        <v>53</v>
      </c>
      <c r="D53" s="49" t="s">
        <v>167</v>
      </c>
    </row>
  </sheetData>
  <phoneticPr fontId="2"/>
  <pageMargins left="0.7" right="0.7" top="0.75" bottom="0.75" header="0.3" footer="0.3"/>
  <pageSetup paperSize="9" orientation="portrait"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Normal="100" workbookViewId="0">
      <selection activeCell="K3" sqref="K3"/>
    </sheetView>
  </sheetViews>
  <sheetFormatPr defaultRowHeight="13.5"/>
  <cols>
    <col min="4" max="4" width="35.875" bestFit="1" customWidth="1"/>
  </cols>
  <sheetData>
    <row r="1" spans="1:4">
      <c r="A1" s="50" t="s">
        <v>170</v>
      </c>
      <c r="B1" s="50" t="s">
        <v>50</v>
      </c>
      <c r="C1" s="50" t="s">
        <v>51</v>
      </c>
      <c r="D1" s="50" t="s">
        <v>52</v>
      </c>
    </row>
    <row r="2" spans="1:4">
      <c r="A2" s="50">
        <v>1</v>
      </c>
      <c r="B2" s="50">
        <v>6</v>
      </c>
      <c r="C2" s="50" t="s">
        <v>53</v>
      </c>
      <c r="D2" s="50" t="s">
        <v>261</v>
      </c>
    </row>
    <row r="3" spans="1:4">
      <c r="A3" s="50">
        <v>2</v>
      </c>
      <c r="B3" s="50">
        <v>8</v>
      </c>
      <c r="C3" s="50" t="s">
        <v>53</v>
      </c>
      <c r="D3" s="50" t="s">
        <v>262</v>
      </c>
    </row>
    <row r="4" spans="1:4">
      <c r="A4" s="50">
        <v>3</v>
      </c>
      <c r="B4" s="50">
        <v>1000</v>
      </c>
      <c r="C4" s="50" t="s">
        <v>53</v>
      </c>
      <c r="D4" s="50" t="s">
        <v>263</v>
      </c>
    </row>
    <row r="5" spans="1:4">
      <c r="A5" s="50">
        <v>4</v>
      </c>
      <c r="B5" s="50">
        <v>100</v>
      </c>
      <c r="C5" s="50" t="s">
        <v>53</v>
      </c>
      <c r="D5" s="50" t="s">
        <v>264</v>
      </c>
    </row>
  </sheetData>
  <phoneticPr fontId="2"/>
  <pageMargins left="0.7" right="0.7" top="0.75" bottom="0.75" header="0.3" footer="0.3"/>
  <pageSetup paperSize="9" orientation="portrait" r:id="rId1"/>
  <headerFooter>
    <oddHeader>&amp;L&amp;A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activeCell="C51" sqref="C51"/>
    </sheetView>
  </sheetViews>
  <sheetFormatPr defaultRowHeight="13.5"/>
  <cols>
    <col min="1" max="1" width="11.625" bestFit="1" customWidth="1"/>
  </cols>
  <sheetData>
    <row r="1" spans="1:2">
      <c r="A1" t="s">
        <v>574</v>
      </c>
    </row>
    <row r="2" spans="1:2">
      <c r="A2" s="363">
        <v>43556</v>
      </c>
      <c r="B2" t="s">
        <v>575</v>
      </c>
    </row>
    <row r="3" spans="1:2">
      <c r="A3" s="363">
        <v>43840</v>
      </c>
      <c r="B3" t="s">
        <v>576</v>
      </c>
    </row>
    <row r="4" spans="1:2">
      <c r="A4" s="363">
        <v>44056</v>
      </c>
      <c r="B4" t="s">
        <v>577</v>
      </c>
    </row>
    <row r="5" spans="1:2">
      <c r="A5" s="363">
        <v>44200</v>
      </c>
      <c r="B5" t="s">
        <v>578</v>
      </c>
    </row>
    <row r="6" spans="1:2">
      <c r="A6" s="363">
        <v>44273</v>
      </c>
      <c r="B6" t="s">
        <v>606</v>
      </c>
    </row>
    <row r="7" spans="1:2">
      <c r="A7" s="363">
        <v>44287</v>
      </c>
      <c r="B7" t="s">
        <v>627</v>
      </c>
    </row>
    <row r="8" spans="1:2">
      <c r="A8" s="363">
        <v>44652</v>
      </c>
      <c r="B8" t="s">
        <v>639</v>
      </c>
    </row>
    <row r="9" spans="1:2">
      <c r="A9" s="363">
        <v>44753</v>
      </c>
      <c r="B9" t="s">
        <v>848</v>
      </c>
    </row>
    <row r="10" spans="1:2">
      <c r="A10" s="363">
        <v>44986</v>
      </c>
      <c r="B10" t="s">
        <v>859</v>
      </c>
    </row>
    <row r="11" spans="1:2">
      <c r="A11" s="363">
        <v>45243</v>
      </c>
      <c r="B11" t="s">
        <v>869</v>
      </c>
    </row>
    <row r="12" spans="1:2">
      <c r="A12" s="396">
        <v>45285</v>
      </c>
      <c r="B12" s="150" t="s">
        <v>870</v>
      </c>
    </row>
    <row r="13" spans="1:2">
      <c r="A13" s="363">
        <v>45364</v>
      </c>
      <c r="B13" s="150" t="s">
        <v>922</v>
      </c>
    </row>
    <row r="14" spans="1:2">
      <c r="A14" s="363">
        <v>45384</v>
      </c>
      <c r="B14" s="150" t="s">
        <v>923</v>
      </c>
    </row>
    <row r="15" spans="1:2">
      <c r="A15" s="363">
        <v>45454</v>
      </c>
      <c r="B15" s="150" t="s">
        <v>924</v>
      </c>
    </row>
    <row r="16" spans="1:2">
      <c r="A16" s="363">
        <v>45531</v>
      </c>
      <c r="B16" s="150" t="s">
        <v>935</v>
      </c>
    </row>
    <row r="17" spans="1:4">
      <c r="A17" s="363">
        <v>45719</v>
      </c>
      <c r="B17" s="150" t="s">
        <v>942</v>
      </c>
      <c r="D17" s="98" t="s">
        <v>1080</v>
      </c>
    </row>
    <row r="18" spans="1:4">
      <c r="D18" t="s">
        <v>1081</v>
      </c>
    </row>
    <row r="19" spans="1:4">
      <c r="D19" s="98" t="s">
        <v>936</v>
      </c>
    </row>
    <row r="20" spans="1:4">
      <c r="D20" s="98" t="s">
        <v>1078</v>
      </c>
    </row>
    <row r="21" spans="1:4">
      <c r="D21" s="98" t="s">
        <v>1079</v>
      </c>
    </row>
    <row r="22" spans="1:4">
      <c r="D22" s="98" t="s">
        <v>1077</v>
      </c>
    </row>
    <row r="23" spans="1:4">
      <c r="A23" s="363">
        <v>45737</v>
      </c>
      <c r="B23" t="s">
        <v>1106</v>
      </c>
    </row>
    <row r="24" spans="1:4">
      <c r="B24" t="s">
        <v>1107</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6"/>
  <sheetViews>
    <sheetView view="pageBreakPreview" zoomScaleNormal="100" zoomScaleSheetLayoutView="100" workbookViewId="0">
      <selection activeCell="T28" sqref="T28"/>
    </sheetView>
  </sheetViews>
  <sheetFormatPr defaultRowHeight="13.5"/>
  <cols>
    <col min="1" max="1" width="3.125" customWidth="1"/>
    <col min="2" max="4" width="9.125" customWidth="1"/>
    <col min="5" max="5" width="0.625" customWidth="1"/>
    <col min="6" max="6" width="13.25" customWidth="1"/>
    <col min="7" max="7" width="4.5" customWidth="1"/>
    <col min="8" max="8" width="7.125" customWidth="1"/>
    <col min="9" max="9" width="2.875" customWidth="1"/>
    <col min="10" max="10" width="2.625" customWidth="1"/>
    <col min="11" max="11" width="2" customWidth="1"/>
    <col min="12" max="12" width="12" customWidth="1"/>
    <col min="13" max="13" width="4.5" customWidth="1"/>
    <col min="14" max="14" width="7.125" customWidth="1"/>
    <col min="15" max="15" width="2.875" customWidth="1"/>
    <col min="16" max="16" width="0.625" customWidth="1"/>
    <col min="17" max="17" width="2.875" customWidth="1"/>
    <col min="18" max="28" width="9" style="55"/>
  </cols>
  <sheetData>
    <row r="1" spans="1:28">
      <c r="A1" s="573" t="s">
        <v>1074</v>
      </c>
      <c r="B1" s="573"/>
      <c r="C1" s="573"/>
      <c r="D1" s="573"/>
      <c r="E1" s="573"/>
      <c r="F1" s="573"/>
      <c r="G1" s="573"/>
      <c r="H1" s="573"/>
      <c r="I1" s="573"/>
      <c r="J1" s="573"/>
      <c r="K1" s="573"/>
      <c r="L1" s="573"/>
      <c r="M1" s="573"/>
      <c r="N1" s="573"/>
      <c r="O1" s="573"/>
      <c r="Q1" s="535"/>
      <c r="R1" s="593" t="s">
        <v>1075</v>
      </c>
      <c r="S1" s="593"/>
      <c r="T1" s="593"/>
      <c r="U1" s="593"/>
      <c r="V1" s="593"/>
      <c r="W1" s="593"/>
      <c r="X1" s="593"/>
      <c r="Y1" s="593"/>
      <c r="Z1" s="593"/>
      <c r="AA1" s="593"/>
      <c r="AB1" s="593"/>
    </row>
    <row r="2" spans="1:28" ht="6" customHeight="1">
      <c r="A2" s="506"/>
      <c r="B2" s="506"/>
      <c r="C2" s="506"/>
      <c r="D2" s="506"/>
      <c r="E2" s="506"/>
      <c r="F2" s="506"/>
      <c r="G2" s="506"/>
      <c r="H2" s="506"/>
      <c r="I2" s="506"/>
      <c r="J2" s="506"/>
      <c r="K2" s="506"/>
      <c r="L2" s="506"/>
      <c r="M2" s="506"/>
      <c r="N2" s="506"/>
      <c r="O2" s="589">
        <f>MAX(修正履歴!A:A)</f>
        <v>45737</v>
      </c>
      <c r="P2" s="589"/>
      <c r="Q2" s="590"/>
      <c r="R2" s="198"/>
      <c r="S2" s="198"/>
      <c r="T2" s="198"/>
      <c r="U2" s="198"/>
      <c r="V2" s="198"/>
      <c r="W2" s="198"/>
      <c r="X2" s="198"/>
      <c r="Y2" s="198"/>
      <c r="Z2" s="198"/>
      <c r="AA2" s="198"/>
      <c r="AB2" s="198"/>
    </row>
    <row r="3" spans="1:28">
      <c r="A3" s="87" t="s">
        <v>297</v>
      </c>
      <c r="G3" s="506"/>
      <c r="H3" s="506"/>
      <c r="I3" s="506"/>
      <c r="J3" s="506"/>
      <c r="K3" s="506"/>
      <c r="L3" s="506"/>
      <c r="M3" s="506"/>
      <c r="N3" s="506"/>
      <c r="O3" s="589"/>
      <c r="P3" s="589"/>
      <c r="Q3" s="590"/>
      <c r="R3" s="514" t="s">
        <v>608</v>
      </c>
      <c r="S3" s="514"/>
      <c r="T3" s="514"/>
      <c r="U3" s="514"/>
      <c r="V3" s="514"/>
      <c r="W3" s="514"/>
      <c r="X3" s="514"/>
      <c r="Y3" s="514"/>
      <c r="Z3" s="514"/>
      <c r="AA3" s="514"/>
      <c r="AB3" s="514"/>
    </row>
    <row r="4" spans="1:28" ht="6" customHeight="1">
      <c r="A4" s="506"/>
      <c r="B4" s="87"/>
      <c r="C4" s="87"/>
      <c r="D4" s="87"/>
      <c r="E4" s="87"/>
      <c r="F4" s="87"/>
      <c r="G4" s="506"/>
      <c r="H4" s="506"/>
      <c r="I4" s="506"/>
      <c r="J4" s="506"/>
      <c r="K4" s="506"/>
      <c r="L4" s="506"/>
      <c r="M4" s="506"/>
      <c r="N4" s="506"/>
      <c r="O4" s="506"/>
      <c r="Q4" s="535"/>
      <c r="R4" s="594" t="s">
        <v>1101</v>
      </c>
      <c r="S4" s="594"/>
      <c r="T4" s="594"/>
      <c r="U4" s="594"/>
      <c r="V4" s="594"/>
      <c r="W4" s="594"/>
      <c r="X4" s="594"/>
      <c r="Y4" s="594"/>
      <c r="Z4" s="594"/>
      <c r="AA4" s="594"/>
      <c r="AB4" s="594"/>
    </row>
    <row r="5" spans="1:28">
      <c r="A5" s="506"/>
      <c r="B5" s="574" t="str">
        <f>"　以下の"&amp;IF(VLOOKUP(L10,計算シート!F15:G22,2,0)=4,"奨学生の適格認定（家計）","者の申込等")&amp;"に際して、収入・所得等を提出すべき者が１月１日時点で日本国外に居住しているため、その収入・所得等の情報を申告します。"</f>
        <v>　以下の者の申込等に際して、収入・所得等を提出すべき者が１月１日時点で日本国外に居住しているため、その収入・所得等の情報を申告します。</v>
      </c>
      <c r="C5" s="574"/>
      <c r="D5" s="574"/>
      <c r="E5" s="574"/>
      <c r="F5" s="574"/>
      <c r="G5" s="574"/>
      <c r="H5" s="574"/>
      <c r="I5" s="574"/>
      <c r="J5" s="574"/>
      <c r="K5" s="574"/>
      <c r="L5" s="574"/>
      <c r="M5" s="574"/>
      <c r="N5" s="574"/>
      <c r="O5" s="574"/>
      <c r="Q5" s="535"/>
      <c r="R5" s="594"/>
      <c r="S5" s="594"/>
      <c r="T5" s="594"/>
      <c r="U5" s="594"/>
      <c r="V5" s="594"/>
      <c r="W5" s="594"/>
      <c r="X5" s="594"/>
      <c r="Y5" s="594"/>
      <c r="Z5" s="594"/>
      <c r="AA5" s="594"/>
      <c r="AB5" s="594"/>
    </row>
    <row r="6" spans="1:28">
      <c r="A6" s="506"/>
      <c r="B6" s="574"/>
      <c r="C6" s="574"/>
      <c r="D6" s="574"/>
      <c r="E6" s="574"/>
      <c r="F6" s="574"/>
      <c r="G6" s="574"/>
      <c r="H6" s="574"/>
      <c r="I6" s="574"/>
      <c r="J6" s="574"/>
      <c r="K6" s="574"/>
      <c r="L6" s="574"/>
      <c r="M6" s="574"/>
      <c r="N6" s="574"/>
      <c r="O6" s="574"/>
      <c r="Q6" s="535"/>
      <c r="R6" s="594"/>
      <c r="S6" s="594"/>
      <c r="T6" s="594"/>
      <c r="U6" s="594"/>
      <c r="V6" s="594"/>
      <c r="W6" s="594"/>
      <c r="X6" s="594"/>
      <c r="Y6" s="594"/>
      <c r="Z6" s="594"/>
      <c r="AA6" s="594"/>
      <c r="AB6" s="594"/>
    </row>
    <row r="7" spans="1:28" ht="5.25" customHeight="1">
      <c r="A7" s="506"/>
      <c r="B7" s="506"/>
      <c r="C7" s="506"/>
      <c r="D7" s="506"/>
      <c r="E7" s="506"/>
      <c r="F7" s="506"/>
      <c r="G7" s="506"/>
      <c r="H7" s="506"/>
      <c r="I7" s="57"/>
      <c r="J7" s="164"/>
      <c r="K7" s="57"/>
      <c r="L7" s="166"/>
      <c r="M7" s="166"/>
      <c r="N7" s="166"/>
      <c r="O7" s="165"/>
      <c r="Q7" s="535"/>
      <c r="R7" s="594"/>
      <c r="S7" s="594"/>
      <c r="T7" s="594"/>
      <c r="U7" s="594"/>
      <c r="V7" s="594"/>
      <c r="W7" s="594"/>
      <c r="X7" s="594"/>
      <c r="Y7" s="594"/>
      <c r="Z7" s="594"/>
      <c r="AA7" s="594"/>
      <c r="AB7" s="594"/>
    </row>
    <row r="8" spans="1:28" ht="14.25" thickBot="1">
      <c r="A8" s="506"/>
      <c r="B8" s="506"/>
      <c r="C8" s="506"/>
      <c r="D8" s="506"/>
      <c r="E8" s="506"/>
      <c r="F8" s="506"/>
      <c r="G8" s="506"/>
      <c r="H8" s="584" t="s">
        <v>386</v>
      </c>
      <c r="I8" s="584"/>
      <c r="J8" s="584"/>
      <c r="K8" s="584"/>
      <c r="L8" s="578">
        <v>45757</v>
      </c>
      <c r="M8" s="578"/>
      <c r="N8" s="578"/>
      <c r="O8" s="165"/>
      <c r="Q8" s="535"/>
      <c r="R8" s="594" t="s">
        <v>395</v>
      </c>
      <c r="S8" s="594"/>
      <c r="T8" s="594"/>
      <c r="U8" s="594"/>
      <c r="V8" s="594"/>
      <c r="W8" s="594"/>
      <c r="X8" s="594"/>
      <c r="Y8" s="594"/>
      <c r="Z8" s="594"/>
      <c r="AA8" s="594"/>
      <c r="AB8" s="594"/>
    </row>
    <row r="9" spans="1:28" ht="9.9499999999999993" customHeight="1">
      <c r="A9" s="506"/>
      <c r="B9" s="506"/>
      <c r="C9" s="506"/>
      <c r="D9" s="506"/>
      <c r="E9" s="506"/>
      <c r="F9" s="506"/>
      <c r="G9" s="506"/>
      <c r="H9" s="506"/>
      <c r="I9" s="57"/>
      <c r="J9" s="57"/>
      <c r="K9" s="57"/>
      <c r="L9" s="579" t="s">
        <v>941</v>
      </c>
      <c r="M9" s="579"/>
      <c r="N9" s="579"/>
      <c r="O9" s="165"/>
      <c r="Q9" s="535"/>
      <c r="R9" s="594"/>
      <c r="S9" s="594"/>
      <c r="T9" s="594"/>
      <c r="U9" s="594"/>
      <c r="V9" s="594"/>
      <c r="W9" s="594"/>
      <c r="X9" s="594"/>
      <c r="Y9" s="594"/>
      <c r="Z9" s="594"/>
      <c r="AA9" s="594"/>
      <c r="AB9" s="594"/>
    </row>
    <row r="10" spans="1:28" ht="14.25" customHeight="1" thickBot="1">
      <c r="A10" s="506"/>
      <c r="C10" s="209" t="s">
        <v>620</v>
      </c>
      <c r="D10" s="217">
        <v>2025</v>
      </c>
      <c r="E10" s="409"/>
      <c r="F10" s="209"/>
      <c r="H10" s="585" t="s">
        <v>396</v>
      </c>
      <c r="I10" s="585"/>
      <c r="J10" s="585"/>
      <c r="K10" s="585"/>
      <c r="L10" s="545" t="s">
        <v>397</v>
      </c>
      <c r="M10" s="545"/>
      <c r="N10" s="545"/>
      <c r="O10" s="165"/>
      <c r="Q10" s="535"/>
      <c r="R10" s="594" t="s">
        <v>1097</v>
      </c>
      <c r="S10" s="594"/>
      <c r="T10" s="594"/>
      <c r="U10" s="594"/>
      <c r="V10" s="594"/>
      <c r="W10" s="594"/>
      <c r="X10" s="594"/>
      <c r="Y10" s="594"/>
      <c r="Z10" s="594"/>
      <c r="AA10" s="594"/>
      <c r="AB10" s="594"/>
    </row>
    <row r="11" spans="1:28" ht="14.25" thickBot="1">
      <c r="A11" s="506"/>
      <c r="C11" s="509" t="str">
        <f>IF(VLOOKUP(L10,計算シート!F15:G22,2,0)=4,"奨学生番号","申込受付番号")</f>
        <v>申込受付番号</v>
      </c>
      <c r="D11" s="556" t="s">
        <v>1085</v>
      </c>
      <c r="E11" s="556"/>
      <c r="F11" s="556"/>
      <c r="G11" s="506" t="s">
        <v>433</v>
      </c>
      <c r="H11" s="521" t="s">
        <v>1086</v>
      </c>
      <c r="I11" s="165" t="s">
        <v>433</v>
      </c>
      <c r="J11" s="581" t="s">
        <v>1089</v>
      </c>
      <c r="K11" s="581"/>
      <c r="L11" s="581"/>
      <c r="M11" s="581"/>
      <c r="N11" s="581"/>
      <c r="O11" s="165"/>
      <c r="Q11" s="535"/>
      <c r="R11" s="594"/>
      <c r="S11" s="594"/>
      <c r="T11" s="594"/>
      <c r="U11" s="594"/>
      <c r="V11" s="594"/>
      <c r="W11" s="594"/>
      <c r="X11" s="594"/>
      <c r="Y11" s="594"/>
      <c r="Z11" s="594"/>
      <c r="AA11" s="594"/>
      <c r="AB11" s="594"/>
    </row>
    <row r="12" spans="1:28" ht="6.75" customHeight="1">
      <c r="A12" s="506"/>
      <c r="B12" s="139"/>
      <c r="C12" s="471"/>
      <c r="D12" s="472"/>
      <c r="E12" s="472"/>
      <c r="F12" s="472"/>
      <c r="G12" s="473"/>
      <c r="H12" s="474"/>
      <c r="I12" s="473"/>
      <c r="J12" s="475"/>
      <c r="K12" s="475"/>
      <c r="L12" s="475"/>
      <c r="M12" s="475"/>
      <c r="N12" s="473"/>
      <c r="O12" s="165"/>
      <c r="Q12" s="535"/>
      <c r="R12" s="594"/>
      <c r="S12" s="594"/>
      <c r="T12" s="594"/>
      <c r="U12" s="594"/>
      <c r="V12" s="594"/>
      <c r="W12" s="594"/>
      <c r="X12" s="594"/>
      <c r="Y12" s="594"/>
      <c r="Z12" s="594"/>
      <c r="AA12" s="594"/>
      <c r="AB12" s="594"/>
    </row>
    <row r="13" spans="1:28" ht="14.25" thickBot="1">
      <c r="B13" s="478"/>
      <c r="C13" s="477" t="str">
        <f>IF(VLOOKUP(L10,計算シート!F15:G22,2,0)=4,"奨学生","申込者")&amp;"本人氏名"</f>
        <v>申込者本人氏名</v>
      </c>
      <c r="D13" s="557" t="s">
        <v>1087</v>
      </c>
      <c r="E13" s="557"/>
      <c r="F13" s="557"/>
      <c r="G13" s="586" t="str">
        <f>IF(計算シート!C67=0,"本人生年月日","")</f>
        <v/>
      </c>
      <c r="H13" s="586"/>
      <c r="I13" s="578">
        <v>38357</v>
      </c>
      <c r="J13" s="578"/>
      <c r="K13" s="578"/>
      <c r="L13" s="578"/>
      <c r="M13" s="470" t="str">
        <f>IF(計算シート!C67=0,"（ yyyy / mm / dd ）","")</f>
        <v/>
      </c>
      <c r="N13" s="476"/>
      <c r="Q13" s="535"/>
      <c r="R13" s="594"/>
      <c r="S13" s="594"/>
      <c r="T13" s="594"/>
      <c r="U13" s="594"/>
      <c r="V13" s="594"/>
      <c r="W13" s="594"/>
      <c r="X13" s="594"/>
      <c r="Y13" s="594"/>
      <c r="Z13" s="594"/>
      <c r="AA13" s="594"/>
      <c r="AB13" s="594"/>
    </row>
    <row r="14" spans="1:28" ht="1.5" customHeight="1">
      <c r="B14" s="139"/>
      <c r="C14" s="471"/>
      <c r="D14" s="480"/>
      <c r="E14" s="480"/>
      <c r="F14" s="480"/>
      <c r="G14" s="481"/>
      <c r="H14" s="481"/>
      <c r="I14" s="482"/>
      <c r="J14" s="482"/>
      <c r="K14" s="483"/>
      <c r="L14" s="483"/>
      <c r="M14" s="484"/>
      <c r="N14" s="483"/>
      <c r="Q14" s="535"/>
      <c r="R14" s="594"/>
      <c r="S14" s="594"/>
      <c r="T14" s="594"/>
      <c r="U14" s="594"/>
      <c r="V14" s="594"/>
      <c r="W14" s="594"/>
      <c r="X14" s="594"/>
      <c r="Y14" s="594"/>
      <c r="Z14" s="594"/>
      <c r="AA14" s="594"/>
      <c r="AB14" s="594"/>
    </row>
    <row r="15" spans="1:28" ht="14.25" customHeight="1" thickBot="1">
      <c r="A15" s="479"/>
      <c r="B15" s="478"/>
      <c r="C15" s="477" t="str">
        <f>IF(計算シート!C67=0,"生計維持者１","配偶者")&amp;"の氏名"</f>
        <v>配偶者の氏名</v>
      </c>
      <c r="D15" s="557" t="s">
        <v>1088</v>
      </c>
      <c r="E15" s="557"/>
      <c r="F15" s="557"/>
      <c r="G15" s="582" t="str">
        <f>IF(計算シート!C67=0,"本人との続柄","")</f>
        <v/>
      </c>
      <c r="H15" s="582"/>
      <c r="I15" s="558" t="s">
        <v>1065</v>
      </c>
      <c r="J15" s="558"/>
      <c r="K15" s="490"/>
      <c r="L15" s="490"/>
      <c r="M15" s="491"/>
      <c r="N15" s="492"/>
      <c r="Q15" s="535"/>
      <c r="R15" s="594" t="s">
        <v>416</v>
      </c>
      <c r="S15" s="594"/>
      <c r="T15" s="594"/>
      <c r="U15" s="594"/>
      <c r="V15" s="594"/>
      <c r="W15" s="594"/>
      <c r="X15" s="594"/>
      <c r="Y15" s="594"/>
      <c r="Z15" s="594"/>
      <c r="AA15" s="594"/>
      <c r="AB15" s="594"/>
    </row>
    <row r="16" spans="1:28" ht="2.1" customHeight="1">
      <c r="B16" s="139"/>
      <c r="C16" s="471"/>
      <c r="D16" s="480"/>
      <c r="E16" s="480"/>
      <c r="F16" s="480"/>
      <c r="G16" s="493"/>
      <c r="H16" s="493"/>
      <c r="I16" s="494"/>
      <c r="J16" s="494"/>
      <c r="K16" s="495"/>
      <c r="L16" s="495"/>
      <c r="M16" s="496"/>
      <c r="N16" s="496"/>
      <c r="Q16" s="535"/>
      <c r="R16" s="594"/>
      <c r="S16" s="594"/>
      <c r="T16" s="594"/>
      <c r="U16" s="594"/>
      <c r="V16" s="594"/>
      <c r="W16" s="594"/>
      <c r="X16" s="594"/>
      <c r="Y16" s="594"/>
      <c r="Z16" s="594"/>
      <c r="AA16" s="594"/>
      <c r="AB16" s="594"/>
    </row>
    <row r="17" spans="1:28" ht="14.25" thickBot="1">
      <c r="A17" s="479"/>
      <c r="B17" s="478"/>
      <c r="C17" s="477" t="str">
        <f>IF(AND(計算シート!C67=0,NOT(OR(F36="いいえ",I15="祖父",I15="祖母",I15="その他"))),"生計維持者２"&amp;"の氏名","")</f>
        <v/>
      </c>
      <c r="D17" s="558" t="s">
        <v>366</v>
      </c>
      <c r="E17" s="558"/>
      <c r="F17" s="558"/>
      <c r="G17" s="548" t="str">
        <f>IF(AND(計算シート!C67=0,NOT(OR(F36="いいえ",I15="祖父",I15="祖母",I15="その他"))),"本人との続柄","")</f>
        <v/>
      </c>
      <c r="H17" s="548"/>
      <c r="I17" s="580" t="s">
        <v>1066</v>
      </c>
      <c r="J17" s="580"/>
      <c r="K17" s="582" t="str">
        <f>IF(AND(計算シート!C67=0,NOT(OR(F36="いいえ",I15="祖父",I15="祖母",I15="その他"))),IF(OR(AND(I15="父",I17="父"),AND(I15="母",I17="母")),"生計維持者１と２の続柄が同じです","※生計維持者２がいない場合、氏名は入力しないでください"),"")</f>
        <v/>
      </c>
      <c r="L17" s="582"/>
      <c r="M17" s="582"/>
      <c r="N17" s="583"/>
      <c r="Q17" s="535"/>
      <c r="R17" s="594"/>
      <c r="S17" s="594"/>
      <c r="T17" s="594"/>
      <c r="U17" s="594"/>
      <c r="V17" s="594"/>
      <c r="W17" s="594"/>
      <c r="X17" s="594"/>
      <c r="Y17" s="594"/>
      <c r="Z17" s="594"/>
      <c r="AA17" s="594"/>
      <c r="AB17" s="594"/>
    </row>
    <row r="18" spans="1:28" ht="2.1" customHeight="1">
      <c r="C18" s="509"/>
      <c r="D18" s="449"/>
      <c r="E18" s="449"/>
      <c r="F18" s="449"/>
      <c r="G18" s="485"/>
      <c r="H18" s="485"/>
      <c r="I18" s="450"/>
      <c r="J18" s="450"/>
      <c r="L18" s="469"/>
      <c r="M18" s="469"/>
      <c r="N18" s="202"/>
      <c r="Q18" s="535"/>
      <c r="R18" s="594"/>
      <c r="S18" s="594"/>
      <c r="T18" s="594"/>
      <c r="U18" s="594"/>
      <c r="V18" s="594"/>
      <c r="W18" s="594"/>
      <c r="X18" s="594"/>
      <c r="Y18" s="594"/>
      <c r="Z18" s="594"/>
      <c r="AA18" s="594"/>
      <c r="AB18" s="594"/>
    </row>
    <row r="19" spans="1:28" ht="13.5" customHeight="1">
      <c r="B19" s="213" t="str">
        <f>"※ 以下、収入（所得）は【"&amp;YEAR(計算シート!C46)-1&amp;"年1月1日～12月31日】のものを入力してください。"</f>
        <v>※ 以下、収入（所得）は【2024年1月1日～12月31日】のものを入力してください。</v>
      </c>
      <c r="C19" s="213"/>
      <c r="D19" s="213"/>
      <c r="E19" s="213"/>
      <c r="F19" s="213"/>
      <c r="G19" s="207"/>
      <c r="H19" s="207"/>
      <c r="I19" s="206"/>
      <c r="J19" s="206"/>
      <c r="K19" s="206"/>
      <c r="L19" s="202"/>
      <c r="M19" s="202"/>
      <c r="N19" s="202"/>
      <c r="Q19" s="535"/>
      <c r="R19" s="594"/>
      <c r="S19" s="594"/>
      <c r="T19" s="594"/>
      <c r="U19" s="594"/>
      <c r="V19" s="594"/>
      <c r="W19" s="594"/>
      <c r="X19" s="594"/>
      <c r="Y19" s="594"/>
      <c r="Z19" s="594"/>
      <c r="AA19" s="594"/>
      <c r="AB19" s="594"/>
    </row>
    <row r="20" spans="1:28" ht="13.5" customHeight="1">
      <c r="B20" s="213" t="str">
        <f>"    扶養等の情報は【"&amp;YEAR(計算シート!C46)-1&amp;"年12月31日】現在のものを入力してください。"</f>
        <v xml:space="preserve">    扶養等の情報は【2024年12月31日】現在のものを入力してください。</v>
      </c>
      <c r="C20" s="213"/>
      <c r="D20" s="213"/>
      <c r="E20" s="213"/>
      <c r="F20" s="213"/>
      <c r="G20" s="207"/>
      <c r="H20" s="207"/>
      <c r="I20" s="206"/>
      <c r="J20" s="206"/>
      <c r="K20" s="206"/>
      <c r="L20" s="202"/>
      <c r="M20" s="202"/>
      <c r="N20" s="202"/>
      <c r="Q20" s="535"/>
      <c r="R20" s="594" t="s">
        <v>364</v>
      </c>
      <c r="S20" s="594"/>
      <c r="T20" s="594"/>
      <c r="U20" s="594"/>
      <c r="V20" s="594"/>
      <c r="W20" s="594"/>
      <c r="X20" s="594"/>
      <c r="Y20" s="594"/>
      <c r="Z20" s="594"/>
      <c r="AA20" s="594"/>
      <c r="AB20" s="594"/>
    </row>
    <row r="21" spans="1:28" ht="3.75" customHeight="1" thickBot="1">
      <c r="A21" s="80"/>
      <c r="B21" s="80"/>
      <c r="C21" s="80"/>
      <c r="D21" s="80"/>
      <c r="E21" s="80"/>
      <c r="F21" s="80"/>
      <c r="G21" s="80"/>
      <c r="H21" s="57"/>
      <c r="I21" s="57"/>
      <c r="L21" s="57"/>
      <c r="M21" s="57"/>
      <c r="N21" s="57"/>
      <c r="Q21" s="535"/>
      <c r="R21" s="594"/>
      <c r="S21" s="594"/>
      <c r="T21" s="594"/>
      <c r="U21" s="594"/>
      <c r="V21" s="594"/>
      <c r="W21" s="594"/>
      <c r="X21" s="594"/>
      <c r="Y21" s="594"/>
      <c r="Z21" s="594"/>
      <c r="AA21" s="594"/>
      <c r="AB21" s="594"/>
    </row>
    <row r="22" spans="1:28" s="98" customFormat="1" ht="15.6" customHeight="1" thickTop="1">
      <c r="A22" s="86" t="str">
        <f>IF(計算シート!C67=0,"奨学生本人情報","※大学院申込の場合、この欄は入力不要です")</f>
        <v>※大学院申込の場合、この欄は入力不要です</v>
      </c>
      <c r="B22" s="96"/>
      <c r="C22" s="96"/>
      <c r="D22" s="96"/>
      <c r="E22" s="96"/>
      <c r="F22" s="96"/>
      <c r="G22" s="97"/>
      <c r="H22" s="456"/>
      <c r="I22" s="83" t="s">
        <v>373</v>
      </c>
      <c r="J22" s="189"/>
      <c r="K22" s="189"/>
      <c r="L22" s="189"/>
      <c r="M22" s="189"/>
      <c r="N22" s="97"/>
      <c r="Q22" s="536"/>
      <c r="R22" s="594"/>
      <c r="S22" s="594"/>
      <c r="T22" s="594"/>
      <c r="U22" s="594"/>
      <c r="V22" s="594"/>
      <c r="W22" s="594"/>
      <c r="X22" s="594"/>
      <c r="Y22" s="594"/>
      <c r="Z22" s="594"/>
      <c r="AA22" s="594"/>
      <c r="AB22" s="594"/>
    </row>
    <row r="23" spans="1:28" s="98" customFormat="1" ht="12.95" customHeight="1" thickBot="1">
      <c r="A23" s="170" t="s">
        <v>316</v>
      </c>
      <c r="B23" s="591" t="str">
        <f>IF(計算シート!C67=0,"生年月日（yyyy/mm/dd）","")</f>
        <v/>
      </c>
      <c r="C23" s="592"/>
      <c r="D23" s="592"/>
      <c r="E23" s="365"/>
      <c r="F23" s="366">
        <f>I13</f>
        <v>38357</v>
      </c>
      <c r="G23" s="102"/>
      <c r="I23" s="191" t="s">
        <v>374</v>
      </c>
      <c r="J23" s="75"/>
      <c r="K23" s="75"/>
      <c r="L23" s="75"/>
      <c r="M23" s="75"/>
      <c r="N23" s="102"/>
      <c r="Q23" s="536"/>
      <c r="R23" s="594"/>
      <c r="S23" s="594"/>
      <c r="T23" s="594"/>
      <c r="U23" s="594"/>
      <c r="V23" s="594"/>
      <c r="W23" s="594"/>
      <c r="X23" s="594"/>
      <c r="Y23" s="594"/>
      <c r="Z23" s="594"/>
      <c r="AA23" s="594"/>
      <c r="AB23" s="594"/>
    </row>
    <row r="24" spans="1:28" s="98" customFormat="1" ht="12.95" customHeight="1" thickBot="1">
      <c r="A24" s="171" t="s">
        <v>317</v>
      </c>
      <c r="B24" s="571" t="str">
        <f>IF(計算シート!C67=0,"どちらの生計維持者に扶養されていますか","")</f>
        <v/>
      </c>
      <c r="C24" s="572"/>
      <c r="D24" s="572"/>
      <c r="F24" s="58" t="s">
        <v>38</v>
      </c>
      <c r="G24" s="102"/>
      <c r="I24" s="191" t="s">
        <v>375</v>
      </c>
      <c r="J24" s="75"/>
      <c r="K24" s="75"/>
      <c r="L24" s="75"/>
      <c r="M24" s="75"/>
      <c r="N24" s="102"/>
      <c r="Q24" s="536"/>
      <c r="R24" s="594"/>
      <c r="S24" s="594"/>
      <c r="T24" s="594"/>
      <c r="U24" s="594"/>
      <c r="V24" s="594"/>
      <c r="W24" s="594"/>
      <c r="X24" s="594"/>
      <c r="Y24" s="594"/>
      <c r="Z24" s="594"/>
      <c r="AA24" s="594"/>
      <c r="AB24" s="594"/>
    </row>
    <row r="25" spans="1:28" s="98" customFormat="1" ht="12.95" customHeight="1" thickBot="1">
      <c r="A25" s="171" t="s">
        <v>318</v>
      </c>
      <c r="B25" s="587" t="str">
        <f>IF(計算シート!C67=0,"障がい者に該当していますか","")</f>
        <v/>
      </c>
      <c r="C25" s="588"/>
      <c r="D25" s="588"/>
      <c r="E25" s="103"/>
      <c r="F25" s="90" t="s">
        <v>266</v>
      </c>
      <c r="G25" s="102"/>
      <c r="I25" s="191" t="s">
        <v>376</v>
      </c>
      <c r="J25" s="75"/>
      <c r="K25" s="75"/>
      <c r="L25" s="75"/>
      <c r="M25" s="75"/>
      <c r="N25" s="102"/>
      <c r="Q25" s="536"/>
      <c r="R25" s="515" t="s">
        <v>609</v>
      </c>
      <c r="S25" s="516"/>
      <c r="T25" s="516"/>
      <c r="U25" s="516"/>
      <c r="V25" s="516"/>
      <c r="W25" s="516"/>
      <c r="X25" s="516"/>
      <c r="Y25" s="516"/>
      <c r="Z25" s="516"/>
      <c r="AA25" s="516"/>
      <c r="AB25" s="516"/>
    </row>
    <row r="26" spans="1:28" s="98" customFormat="1" ht="12.95" customHeight="1" thickBot="1">
      <c r="A26" s="171" t="s">
        <v>319</v>
      </c>
      <c r="B26" s="559" t="str">
        <f>IF(計算シート!C67=0,"　生計維持者と同居していますか","")</f>
        <v/>
      </c>
      <c r="C26" s="560"/>
      <c r="D26" s="560"/>
      <c r="E26" s="103"/>
      <c r="F26" s="73" t="s">
        <v>40</v>
      </c>
      <c r="G26" s="102"/>
      <c r="I26" s="455">
        <v>1</v>
      </c>
      <c r="J26" s="546" t="s">
        <v>377</v>
      </c>
      <c r="K26" s="547"/>
      <c r="L26" s="547"/>
      <c r="M26" s="547"/>
      <c r="N26" s="523" t="s">
        <v>378</v>
      </c>
      <c r="Q26" s="536"/>
      <c r="R26" s="516" t="s">
        <v>610</v>
      </c>
      <c r="S26" s="516"/>
      <c r="T26" s="516"/>
      <c r="U26" s="516"/>
      <c r="V26" s="516"/>
      <c r="W26" s="516"/>
      <c r="X26" s="516"/>
      <c r="Y26" s="516"/>
      <c r="Z26" s="516"/>
      <c r="AA26" s="516"/>
      <c r="AB26" s="516"/>
    </row>
    <row r="27" spans="1:28" s="98" customFormat="1" ht="12.95" customHeight="1" thickBot="1">
      <c r="A27" s="171" t="s">
        <v>320</v>
      </c>
      <c r="B27" s="559" t="str">
        <f>IF(計算シート!C67=0,"奨学生本人に収入（所得）がありますか","")</f>
        <v/>
      </c>
      <c r="C27" s="560"/>
      <c r="D27" s="560"/>
      <c r="E27" s="99"/>
      <c r="F27" s="58" t="s">
        <v>40</v>
      </c>
      <c r="G27" s="102"/>
      <c r="I27" s="455">
        <v>2</v>
      </c>
      <c r="J27" s="547" t="s">
        <v>384</v>
      </c>
      <c r="K27" s="547"/>
      <c r="L27" s="547"/>
      <c r="M27" s="547"/>
      <c r="N27" s="523" t="str">
        <f>IF(F36="はい","○"&amp;IF(VLOOKUP(L10,計算シート!F15:G22,2,0)=4,"※",""),"")</f>
        <v>○</v>
      </c>
      <c r="Q27" s="536"/>
      <c r="R27" s="515" t="s">
        <v>1102</v>
      </c>
      <c r="S27" s="516"/>
      <c r="T27" s="516"/>
      <c r="U27" s="516"/>
      <c r="V27" s="516"/>
      <c r="W27" s="516"/>
      <c r="X27" s="516"/>
      <c r="Y27" s="516"/>
      <c r="Z27" s="516"/>
      <c r="AA27" s="516"/>
      <c r="AB27" s="516"/>
    </row>
    <row r="28" spans="1:28" s="98" customFormat="1" ht="12.95" customHeight="1" thickBot="1">
      <c r="A28" s="171" t="s">
        <v>321</v>
      </c>
      <c r="B28" s="559" t="str">
        <f>IF(計算シート!C67=0,"　給与収入金額の通貨","")</f>
        <v/>
      </c>
      <c r="C28" s="560"/>
      <c r="D28" s="560"/>
      <c r="E28" s="99"/>
      <c r="F28" s="73" t="s">
        <v>49</v>
      </c>
      <c r="G28" s="102"/>
      <c r="I28" s="455">
        <v>3</v>
      </c>
      <c r="J28" s="546" t="s">
        <v>383</v>
      </c>
      <c r="K28" s="547"/>
      <c r="L28" s="547"/>
      <c r="M28" s="547"/>
      <c r="N28" s="523" t="str">
        <f>IF(SUM(F51:F59,L51:L59)&gt;0,"○","")</f>
        <v>○</v>
      </c>
      <c r="Q28" s="536"/>
      <c r="R28" s="515" t="s">
        <v>616</v>
      </c>
      <c r="S28" s="513"/>
      <c r="T28" s="513"/>
      <c r="U28" s="513"/>
      <c r="V28" s="513"/>
      <c r="W28" s="513"/>
      <c r="X28" s="513"/>
      <c r="Y28" s="513"/>
      <c r="Z28" s="513"/>
      <c r="AA28" s="513"/>
      <c r="AB28" s="513"/>
    </row>
    <row r="29" spans="1:28" s="98" customFormat="1" ht="12.95" customHeight="1" thickBot="1">
      <c r="A29" s="171" t="s">
        <v>322</v>
      </c>
      <c r="B29" s="559" t="str">
        <f>IF(計算シート!C67=0,"　　給与収入金額","")</f>
        <v/>
      </c>
      <c r="C29" s="560"/>
      <c r="D29" s="560"/>
      <c r="F29" s="200">
        <v>1000000</v>
      </c>
      <c r="G29" s="100" t="str">
        <f>MID(F28,SEARCH("(",F28)+1,3)</f>
        <v>JPY</v>
      </c>
      <c r="I29" s="455">
        <v>4</v>
      </c>
      <c r="J29" s="546" t="str">
        <f>IF(計算シート!C67=0,"生計維持者が１人のみであることを証するもの","ひとり親世帯に関するもの")</f>
        <v>ひとり親世帯に関するもの</v>
      </c>
      <c r="K29" s="547"/>
      <c r="L29" s="547"/>
      <c r="M29" s="547"/>
      <c r="N29" s="523" t="str">
        <f>IF(OR(AND(計算シート!C67=0,F36="いいえ"),AND(計算シート!C67=1,F40="ひとり親である")),"○","")</f>
        <v/>
      </c>
      <c r="Q29" s="536"/>
      <c r="R29" s="515" t="s">
        <v>622</v>
      </c>
      <c r="S29" s="513"/>
      <c r="T29" s="513"/>
      <c r="U29" s="513"/>
      <c r="V29" s="513"/>
      <c r="W29" s="513"/>
      <c r="X29" s="513"/>
      <c r="Y29" s="513"/>
      <c r="Z29" s="513"/>
      <c r="AA29" s="513"/>
      <c r="AB29" s="513"/>
    </row>
    <row r="30" spans="1:28" s="98" customFormat="1" ht="12.95" customHeight="1" thickBot="1">
      <c r="A30" s="171" t="s">
        <v>323</v>
      </c>
      <c r="B30" s="571" t="str">
        <f>IF(計算シート!C67=0,"　給与・年金以外の所得の通貨","")</f>
        <v/>
      </c>
      <c r="C30" s="572"/>
      <c r="D30" s="572"/>
      <c r="E30" s="99"/>
      <c r="F30" s="73" t="s">
        <v>49</v>
      </c>
      <c r="G30" s="102"/>
      <c r="I30" s="455">
        <v>5</v>
      </c>
      <c r="J30" s="546" t="s">
        <v>381</v>
      </c>
      <c r="K30" s="547"/>
      <c r="L30" s="547"/>
      <c r="M30" s="547"/>
      <c r="N30" s="523" t="str">
        <f>IF(OR(F25="障がい者である",F25="特別の障がい者である",F39="障がい者である",F39="特別の障がい者である",L39="障がい者である",L39="特別の障がい者である",SUM(F57:F59,L57:L59)&gt;0),"○","")</f>
        <v>○</v>
      </c>
      <c r="Q30" s="536"/>
      <c r="R30" s="594" t="s">
        <v>1076</v>
      </c>
      <c r="S30" s="594"/>
      <c r="T30" s="594"/>
      <c r="U30" s="594"/>
      <c r="V30" s="594"/>
      <c r="W30" s="594"/>
      <c r="X30" s="594"/>
      <c r="Y30" s="594"/>
      <c r="Z30" s="594"/>
      <c r="AA30" s="594"/>
      <c r="AB30" s="594"/>
    </row>
    <row r="31" spans="1:28" s="98" customFormat="1" ht="12.95" customHeight="1" thickBot="1">
      <c r="A31" s="172" t="s">
        <v>324</v>
      </c>
      <c r="B31" s="554" t="str">
        <f>IF(計算シート!C67=0,"　　給与・年金以外の所得の金額","")</f>
        <v/>
      </c>
      <c r="C31" s="555"/>
      <c r="D31" s="555"/>
      <c r="E31" s="107"/>
      <c r="F31" s="200">
        <v>0</v>
      </c>
      <c r="G31" s="108" t="str">
        <f>MID(F30,SEARCH("(",F30)+1,3)</f>
        <v>JPY</v>
      </c>
      <c r="I31" s="190"/>
      <c r="J31" s="117"/>
      <c r="K31" s="117"/>
      <c r="L31" s="117"/>
      <c r="M31" s="117"/>
      <c r="N31" s="127"/>
      <c r="Q31" s="536"/>
      <c r="R31" s="594"/>
      <c r="S31" s="594"/>
      <c r="T31" s="594"/>
      <c r="U31" s="594"/>
      <c r="V31" s="594"/>
      <c r="W31" s="594"/>
      <c r="X31" s="594"/>
      <c r="Y31" s="594"/>
      <c r="Z31" s="594"/>
      <c r="AA31" s="594"/>
      <c r="AB31" s="594"/>
    </row>
    <row r="32" spans="1:28" s="98" customFormat="1" ht="3" customHeight="1" thickTop="1">
      <c r="Q32" s="536"/>
      <c r="R32" s="594"/>
      <c r="S32" s="594"/>
      <c r="T32" s="594"/>
      <c r="U32" s="594"/>
      <c r="V32" s="594"/>
      <c r="W32" s="594"/>
      <c r="X32" s="594"/>
      <c r="Y32" s="594"/>
      <c r="Z32" s="594"/>
      <c r="AA32" s="594"/>
      <c r="AB32" s="594"/>
    </row>
    <row r="33" spans="1:28" s="98" customFormat="1" ht="14.1" customHeight="1" thickBot="1">
      <c r="A33" s="78"/>
      <c r="B33" s="78"/>
      <c r="C33" s="78"/>
      <c r="D33" s="78"/>
      <c r="E33" s="79"/>
      <c r="F33" s="109" t="str">
        <f>IF(計算シート!C67=0,"生計維持者１","申込者本人")</f>
        <v>申込者本人</v>
      </c>
      <c r="G33" s="111"/>
      <c r="H33" s="109"/>
      <c r="I33" s="110"/>
      <c r="J33" s="78"/>
      <c r="K33" s="79"/>
      <c r="L33" s="125" t="str">
        <f>IF(計算シート!C67=0,IF(AND(F36="はい",OR(I15="その他",L15="祖父",L15="祖母")),"生計維持者１の配偶者",IF(AND(F36="はい",OR(AND(I15="父",I17="母"),AND(I15="母",I17="父"))),"生計維持者２","")),IF(F36="はい","申込者本人の配偶者",""))</f>
        <v>申込者本人の配偶者</v>
      </c>
      <c r="M33" s="125" t="s">
        <v>1108</v>
      </c>
      <c r="N33" s="440"/>
      <c r="O33" s="441"/>
      <c r="P33" s="112"/>
      <c r="Q33" s="536"/>
      <c r="R33" s="594"/>
      <c r="S33" s="594"/>
      <c r="T33" s="594"/>
      <c r="U33" s="594"/>
      <c r="V33" s="594"/>
      <c r="W33" s="594"/>
      <c r="X33" s="594"/>
      <c r="Y33" s="594"/>
      <c r="Z33" s="594"/>
      <c r="AA33" s="594"/>
      <c r="AB33" s="594"/>
    </row>
    <row r="34" spans="1:28" s="98" customFormat="1" ht="15.6" customHeight="1" thickTop="1" thickBot="1">
      <c r="A34" s="83" t="str">
        <f>IF(計算シート!C67=0,"生計維持者","申込者本人")&amp;"の基本情報"</f>
        <v>申込者本人の基本情報</v>
      </c>
      <c r="B34" s="428"/>
      <c r="C34" s="428"/>
      <c r="D34" s="428"/>
      <c r="E34" s="429"/>
      <c r="F34" s="75"/>
      <c r="G34" s="75"/>
      <c r="H34" s="75"/>
      <c r="I34" s="113"/>
      <c r="J34" s="75"/>
      <c r="K34" s="76"/>
      <c r="L34" s="126" t="str">
        <f>IF(OR(L33="生計維持者１の配偶者",L33="申込者本人の配偶者"),"(配偶者の基本情報）","")</f>
        <v>(配偶者の基本情報）</v>
      </c>
      <c r="M34" s="97"/>
      <c r="N34" s="510" t="s">
        <v>1109</v>
      </c>
      <c r="P34" s="114"/>
      <c r="Q34" s="536"/>
      <c r="R34" s="516" t="s">
        <v>931</v>
      </c>
      <c r="S34" s="516"/>
      <c r="T34" s="514"/>
      <c r="U34" s="514"/>
      <c r="V34" s="514"/>
      <c r="W34" s="514"/>
      <c r="X34" s="514"/>
      <c r="Y34" s="514"/>
      <c r="Z34" s="514"/>
      <c r="AA34" s="514"/>
      <c r="AB34" s="514"/>
    </row>
    <row r="35" spans="1:28" s="98" customFormat="1" ht="12.95" customHeight="1" thickBot="1">
      <c r="A35" s="173" t="s">
        <v>325</v>
      </c>
      <c r="B35" s="571" t="s">
        <v>406</v>
      </c>
      <c r="C35" s="572"/>
      <c r="D35" s="572"/>
      <c r="E35" s="430"/>
      <c r="F35" s="214">
        <v>18268</v>
      </c>
      <c r="G35" s="75"/>
      <c r="H35" s="421"/>
      <c r="I35" s="113"/>
      <c r="J35" s="176" t="s">
        <v>330</v>
      </c>
      <c r="K35" s="76"/>
      <c r="L35" s="214">
        <v>18300</v>
      </c>
      <c r="M35" s="102"/>
      <c r="N35" s="510" t="s">
        <v>1110</v>
      </c>
      <c r="P35" s="114"/>
      <c r="Q35" s="536"/>
      <c r="R35" s="516" t="s">
        <v>933</v>
      </c>
      <c r="S35" s="516"/>
      <c r="T35" s="514"/>
      <c r="U35" s="514"/>
      <c r="V35" s="514"/>
      <c r="W35" s="514"/>
      <c r="X35" s="514"/>
      <c r="Y35" s="514"/>
      <c r="Z35" s="514"/>
      <c r="AA35" s="514"/>
      <c r="AB35" s="514"/>
    </row>
    <row r="36" spans="1:28" s="98" customFormat="1" ht="12.95" customHeight="1" thickBot="1">
      <c r="A36" s="174" t="s">
        <v>326</v>
      </c>
      <c r="B36" s="559" t="str">
        <f>IF(計算シート!C67=0,"","申込者本人に")&amp;"配偶者はいますか"</f>
        <v>申込者本人に配偶者はいますか</v>
      </c>
      <c r="C36" s="560"/>
      <c r="D36" s="560"/>
      <c r="E36" s="430"/>
      <c r="F36" s="58" t="s">
        <v>40</v>
      </c>
      <c r="G36" s="75"/>
      <c r="H36" s="115"/>
      <c r="I36" s="113"/>
      <c r="J36" s="177"/>
      <c r="K36" s="76"/>
      <c r="L36" s="115"/>
      <c r="M36" s="102"/>
      <c r="N36" s="510" t="s">
        <v>1111</v>
      </c>
      <c r="P36" s="114"/>
      <c r="Q36" s="536"/>
      <c r="R36" s="516" t="s">
        <v>1103</v>
      </c>
      <c r="S36" s="513"/>
      <c r="T36" s="513"/>
      <c r="U36" s="513"/>
      <c r="V36" s="513"/>
      <c r="W36" s="513"/>
      <c r="X36" s="513"/>
      <c r="Y36" s="513"/>
      <c r="Z36" s="513"/>
      <c r="AA36" s="513"/>
      <c r="AB36" s="513"/>
    </row>
    <row r="37" spans="1:28" s="98" customFormat="1" ht="12.95" hidden="1" customHeight="1" thickBot="1">
      <c r="A37" s="174" t="s">
        <v>327</v>
      </c>
      <c r="B37" s="559" t="str">
        <f>IF(計算シート!C67=0,"　配偶者は生計維持者２ですか","")</f>
        <v/>
      </c>
      <c r="C37" s="560"/>
      <c r="D37" s="560"/>
      <c r="E37" s="430"/>
      <c r="F37" s="58" t="str">
        <f>IF(AND(I15&lt;&gt;"その他",F36="はい"),"はい","いいえ")</f>
        <v>はい</v>
      </c>
      <c r="G37" s="75"/>
      <c r="H37" s="115"/>
      <c r="I37" s="113"/>
      <c r="J37" s="177"/>
      <c r="K37" s="76"/>
      <c r="L37" s="115"/>
      <c r="M37" s="102"/>
      <c r="N37" s="511"/>
      <c r="P37" s="114"/>
      <c r="Q37" s="536"/>
      <c r="R37" s="513"/>
      <c r="S37" s="513"/>
      <c r="T37" s="513"/>
      <c r="U37" s="513"/>
      <c r="V37" s="513"/>
      <c r="W37" s="513"/>
      <c r="X37" s="513"/>
      <c r="Y37" s="513"/>
      <c r="Z37" s="513"/>
      <c r="AA37" s="513"/>
      <c r="AB37" s="513"/>
    </row>
    <row r="38" spans="1:28" s="98" customFormat="1" ht="12.95" customHeight="1" thickBot="1">
      <c r="A38" s="174" t="s">
        <v>327</v>
      </c>
      <c r="B38" s="559" t="str">
        <f>IF(AND(OR(I15&lt;&gt;"その他",I15&lt;&gt;"祖父",I15&lt;&gt;"祖母"),F36="はい"),"　生計維持者２","　配偶者")&amp;"と同居していますか"</f>
        <v>　生計維持者２と同居していますか</v>
      </c>
      <c r="C38" s="560"/>
      <c r="D38" s="565"/>
      <c r="E38" s="63"/>
      <c r="F38" s="58" t="s">
        <v>40</v>
      </c>
      <c r="G38" s="75"/>
      <c r="H38" s="115"/>
      <c r="I38" s="113"/>
      <c r="J38" s="177"/>
      <c r="K38" s="76"/>
      <c r="L38" s="75"/>
      <c r="M38" s="102"/>
      <c r="N38" s="510" t="s">
        <v>1112</v>
      </c>
      <c r="P38" s="114"/>
      <c r="Q38" s="536"/>
      <c r="R38" s="516" t="s">
        <v>1083</v>
      </c>
      <c r="S38" s="513"/>
      <c r="T38" s="513"/>
      <c r="U38" s="513"/>
      <c r="V38" s="513"/>
      <c r="W38" s="513"/>
      <c r="X38" s="513"/>
      <c r="Y38" s="513"/>
      <c r="Z38" s="513"/>
      <c r="AA38" s="513"/>
      <c r="AB38" s="513"/>
    </row>
    <row r="39" spans="1:28" s="98" customFormat="1" ht="12.95" customHeight="1" thickBot="1">
      <c r="A39" s="174" t="s">
        <v>328</v>
      </c>
      <c r="B39" s="566" t="str">
        <f>"障がい者に該当していますか"</f>
        <v>障がい者に該当していますか</v>
      </c>
      <c r="C39" s="567"/>
      <c r="D39" s="567"/>
      <c r="E39" s="431"/>
      <c r="F39" s="90" t="s">
        <v>44</v>
      </c>
      <c r="G39" s="75"/>
      <c r="H39" s="422"/>
      <c r="I39" s="113"/>
      <c r="J39" s="178" t="s">
        <v>331</v>
      </c>
      <c r="K39" s="439"/>
      <c r="L39" s="90" t="s">
        <v>44</v>
      </c>
      <c r="M39" s="102"/>
      <c r="N39" s="510" t="s">
        <v>1113</v>
      </c>
      <c r="P39" s="114"/>
      <c r="Q39" s="536"/>
      <c r="R39" s="540"/>
      <c r="S39" s="516"/>
      <c r="T39" s="516"/>
      <c r="U39" s="516"/>
      <c r="V39" s="516"/>
      <c r="W39" s="516"/>
      <c r="X39" s="516"/>
      <c r="Y39" s="516"/>
      <c r="Z39" s="516"/>
      <c r="AA39" s="516"/>
      <c r="AB39" s="516"/>
    </row>
    <row r="40" spans="1:28" s="98" customFormat="1" ht="12.95" customHeight="1" thickBot="1">
      <c r="A40" s="175" t="s">
        <v>329</v>
      </c>
      <c r="B40" s="554" t="str">
        <f>IF(計算シート!C67=0,"","申込者本人は")&amp;"ひとり親ですか"</f>
        <v>申込者本人はひとり親ですか</v>
      </c>
      <c r="C40" s="555"/>
      <c r="D40" s="555"/>
      <c r="E40" s="82"/>
      <c r="F40" s="59" t="s">
        <v>929</v>
      </c>
      <c r="G40" s="423"/>
      <c r="H40" s="424"/>
      <c r="I40" s="419"/>
      <c r="J40" s="179"/>
      <c r="K40" s="122"/>
      <c r="L40" s="128"/>
      <c r="M40" s="127"/>
      <c r="N40" s="510"/>
      <c r="P40" s="114"/>
      <c r="Q40" s="536"/>
      <c r="R40" s="540"/>
      <c r="S40" s="516"/>
      <c r="T40" s="516"/>
      <c r="U40" s="516"/>
      <c r="V40" s="516"/>
      <c r="W40" s="516"/>
      <c r="X40" s="516"/>
      <c r="Y40" s="516"/>
      <c r="Z40" s="516"/>
      <c r="AA40" s="516"/>
      <c r="AB40" s="516"/>
    </row>
    <row r="41" spans="1:28" s="146" customFormat="1" ht="3" customHeight="1" thickTop="1" thickBot="1">
      <c r="A41" s="140"/>
      <c r="B41" s="141"/>
      <c r="C41" s="141"/>
      <c r="D41" s="141"/>
      <c r="E41" s="142"/>
      <c r="F41" s="141"/>
      <c r="G41" s="141"/>
      <c r="H41" s="141"/>
      <c r="I41" s="143"/>
      <c r="J41" s="168"/>
      <c r="K41" s="142"/>
      <c r="L41" s="144"/>
      <c r="M41" s="141"/>
      <c r="N41" s="443"/>
      <c r="O41" s="442"/>
      <c r="P41" s="145"/>
      <c r="Q41" s="537"/>
      <c r="R41" s="594" t="s">
        <v>1123</v>
      </c>
      <c r="S41" s="594"/>
      <c r="T41" s="594"/>
      <c r="U41" s="594"/>
      <c r="V41" s="594"/>
      <c r="W41" s="594"/>
      <c r="X41" s="594"/>
      <c r="Y41" s="594"/>
      <c r="Z41" s="594"/>
      <c r="AA41" s="594"/>
      <c r="AB41" s="594"/>
    </row>
    <row r="42" spans="1:28" s="98" customFormat="1" ht="15.6" customHeight="1" thickTop="1" thickBot="1">
      <c r="A42" s="83" t="str">
        <f>IF(計算シート!C67=0,"生計維持者の","")&amp;"収入・所得の情報"</f>
        <v>収入・所得の情報</v>
      </c>
      <c r="B42" s="428"/>
      <c r="C42" s="428"/>
      <c r="D42" s="428"/>
      <c r="E42" s="429"/>
      <c r="F42" s="75"/>
      <c r="G42" s="75"/>
      <c r="H42" s="75"/>
      <c r="I42" s="113"/>
      <c r="J42" s="167"/>
      <c r="K42" s="76"/>
      <c r="L42" s="126" t="str">
        <f>IF(L33="生計維持者１の配偶者","(配偶者の収入・所得の情報）","")</f>
        <v/>
      </c>
      <c r="M42" s="97"/>
      <c r="N42" s="518" t="s">
        <v>1114</v>
      </c>
      <c r="P42" s="114"/>
      <c r="Q42" s="536"/>
      <c r="R42" s="594"/>
      <c r="S42" s="594"/>
      <c r="T42" s="594"/>
      <c r="U42" s="594"/>
      <c r="V42" s="594"/>
      <c r="W42" s="594"/>
      <c r="X42" s="594"/>
      <c r="Y42" s="594"/>
      <c r="Z42" s="594"/>
      <c r="AA42" s="594"/>
      <c r="AB42" s="594"/>
    </row>
    <row r="43" spans="1:28" s="98" customFormat="1" ht="12.95" customHeight="1" thickBot="1">
      <c r="A43" s="173" t="s">
        <v>332</v>
      </c>
      <c r="B43" s="568" t="s">
        <v>272</v>
      </c>
      <c r="C43" s="569"/>
      <c r="D43" s="570"/>
      <c r="E43" s="62"/>
      <c r="F43" s="73" t="s">
        <v>785</v>
      </c>
      <c r="G43" s="75"/>
      <c r="H43" s="425"/>
      <c r="I43" s="113"/>
      <c r="J43" s="176" t="s">
        <v>338</v>
      </c>
      <c r="K43" s="76"/>
      <c r="L43" s="73" t="s">
        <v>49</v>
      </c>
      <c r="M43" s="102"/>
      <c r="N43" s="518" t="s">
        <v>1115</v>
      </c>
      <c r="P43" s="114"/>
      <c r="Q43" s="536"/>
      <c r="R43" s="594"/>
      <c r="S43" s="594"/>
      <c r="T43" s="594"/>
      <c r="U43" s="594"/>
      <c r="V43" s="594"/>
      <c r="W43" s="594"/>
      <c r="X43" s="594"/>
      <c r="Y43" s="594"/>
      <c r="Z43" s="594"/>
      <c r="AA43" s="594"/>
      <c r="AB43" s="594"/>
    </row>
    <row r="44" spans="1:28" s="98" customFormat="1" ht="12.95" customHeight="1" thickBot="1">
      <c r="A44" s="174" t="s">
        <v>333</v>
      </c>
      <c r="B44" s="561" t="s">
        <v>274</v>
      </c>
      <c r="C44" s="562"/>
      <c r="D44" s="562"/>
      <c r="E44" s="430"/>
      <c r="F44" s="200">
        <v>59428</v>
      </c>
      <c r="G44" s="407" t="str">
        <f>MID(F43,SEARCH("(",F43)+1,3)</f>
        <v>USD</v>
      </c>
      <c r="H44" s="426"/>
      <c r="I44" s="113"/>
      <c r="J44" s="178" t="s">
        <v>339</v>
      </c>
      <c r="K44" s="76"/>
      <c r="L44" s="200">
        <v>1030000</v>
      </c>
      <c r="M44" s="100" t="str">
        <f>MID(L43,SEARCH("(",L43)+1,3)</f>
        <v>JPY</v>
      </c>
      <c r="N44" s="519" t="s">
        <v>1116</v>
      </c>
      <c r="P44" s="114"/>
      <c r="Q44" s="536"/>
      <c r="R44" s="594"/>
      <c r="S44" s="594"/>
      <c r="T44" s="594"/>
      <c r="U44" s="594"/>
      <c r="V44" s="594"/>
      <c r="W44" s="594"/>
      <c r="X44" s="594"/>
      <c r="Y44" s="594"/>
      <c r="Z44" s="594"/>
      <c r="AA44" s="594"/>
      <c r="AB44" s="594"/>
    </row>
    <row r="45" spans="1:28" s="98" customFormat="1" ht="12.95" customHeight="1" thickBot="1">
      <c r="A45" s="174" t="s">
        <v>334</v>
      </c>
      <c r="B45" s="561" t="s">
        <v>273</v>
      </c>
      <c r="C45" s="562"/>
      <c r="D45" s="562"/>
      <c r="E45" s="430"/>
      <c r="F45" s="73" t="s">
        <v>785</v>
      </c>
      <c r="G45" s="75"/>
      <c r="H45" s="425"/>
      <c r="I45" s="113"/>
      <c r="J45" s="178" t="s">
        <v>340</v>
      </c>
      <c r="K45" s="76"/>
      <c r="L45" s="73" t="s">
        <v>49</v>
      </c>
      <c r="M45" s="102"/>
      <c r="N45" s="519" t="s">
        <v>1117</v>
      </c>
      <c r="P45" s="114"/>
      <c r="Q45" s="536"/>
      <c r="R45" s="594"/>
      <c r="S45" s="594"/>
      <c r="T45" s="594"/>
      <c r="U45" s="594"/>
      <c r="V45" s="594"/>
      <c r="W45" s="594"/>
      <c r="X45" s="594"/>
      <c r="Y45" s="594"/>
      <c r="Z45" s="594"/>
      <c r="AA45" s="594"/>
      <c r="AB45" s="594"/>
    </row>
    <row r="46" spans="1:28" s="98" customFormat="1" ht="12.95" customHeight="1" thickBot="1">
      <c r="A46" s="174" t="s">
        <v>335</v>
      </c>
      <c r="B46" s="563" t="s">
        <v>275</v>
      </c>
      <c r="C46" s="564"/>
      <c r="D46" s="564"/>
      <c r="E46" s="62"/>
      <c r="F46" s="200">
        <v>0</v>
      </c>
      <c r="G46" s="407" t="str">
        <f>MID(F45,SEARCH("(",F45)+1,3)</f>
        <v>USD</v>
      </c>
      <c r="H46" s="426"/>
      <c r="I46" s="113"/>
      <c r="J46" s="178" t="s">
        <v>341</v>
      </c>
      <c r="K46" s="76"/>
      <c r="L46" s="200">
        <v>0</v>
      </c>
      <c r="M46" s="120" t="str">
        <f>MID(L45,SEARCH("(",L45)+1,3)</f>
        <v>JPY</v>
      </c>
      <c r="N46" s="520" t="s">
        <v>1118</v>
      </c>
      <c r="P46" s="114"/>
      <c r="Q46" s="536"/>
      <c r="R46" s="594"/>
      <c r="S46" s="594"/>
      <c r="T46" s="594"/>
      <c r="U46" s="594"/>
      <c r="V46" s="594"/>
      <c r="W46" s="594"/>
      <c r="X46" s="594"/>
      <c r="Y46" s="594"/>
      <c r="Z46" s="594"/>
      <c r="AA46" s="594"/>
      <c r="AB46" s="594"/>
    </row>
    <row r="47" spans="1:28" s="98" customFormat="1" ht="12.95" customHeight="1" thickBot="1">
      <c r="A47" s="174" t="s">
        <v>336</v>
      </c>
      <c r="B47" s="148" t="s">
        <v>303</v>
      </c>
      <c r="C47" s="369"/>
      <c r="D47" s="369"/>
      <c r="E47" s="433"/>
      <c r="F47" s="73" t="s">
        <v>785</v>
      </c>
      <c r="G47" s="75"/>
      <c r="H47" s="425"/>
      <c r="I47" s="113"/>
      <c r="J47" s="178" t="s">
        <v>342</v>
      </c>
      <c r="K47" s="76"/>
      <c r="L47" s="73" t="s">
        <v>49</v>
      </c>
      <c r="M47" s="121"/>
      <c r="N47" s="520" t="s">
        <v>1119</v>
      </c>
      <c r="P47" s="114"/>
      <c r="Q47" s="536"/>
      <c r="R47" s="594"/>
      <c r="S47" s="594"/>
      <c r="T47" s="594"/>
      <c r="U47" s="594"/>
      <c r="V47" s="594"/>
      <c r="W47" s="594"/>
      <c r="X47" s="594"/>
      <c r="Y47" s="594"/>
      <c r="Z47" s="594"/>
      <c r="AA47" s="594"/>
      <c r="AB47" s="594"/>
    </row>
    <row r="48" spans="1:28" s="98" customFormat="1" ht="12.95" customHeight="1" thickBot="1">
      <c r="A48" s="175" t="s">
        <v>337</v>
      </c>
      <c r="B48" s="432" t="s">
        <v>304</v>
      </c>
      <c r="C48" s="436"/>
      <c r="D48" s="437"/>
      <c r="E48" s="438"/>
      <c r="F48" s="200">
        <v>0</v>
      </c>
      <c r="G48" s="417" t="str">
        <f>MID(F47,SEARCH("(",F47)+1,3)</f>
        <v>USD</v>
      </c>
      <c r="H48" s="427"/>
      <c r="I48" s="419"/>
      <c r="J48" s="180" t="s">
        <v>343</v>
      </c>
      <c r="K48" s="118"/>
      <c r="L48" s="200">
        <v>0</v>
      </c>
      <c r="M48" s="108" t="str">
        <f>MID(L47,SEARCH("(",L47)+1,3)</f>
        <v>JPY</v>
      </c>
      <c r="N48" s="520" t="s">
        <v>1120</v>
      </c>
      <c r="P48" s="114"/>
      <c r="Q48" s="536"/>
      <c r="R48" s="594"/>
      <c r="S48" s="594"/>
      <c r="T48" s="594"/>
      <c r="U48" s="594"/>
      <c r="V48" s="594"/>
      <c r="W48" s="594"/>
      <c r="X48" s="594"/>
      <c r="Y48" s="594"/>
      <c r="Z48" s="594"/>
      <c r="AA48" s="594"/>
      <c r="AB48" s="594"/>
    </row>
    <row r="49" spans="1:28" s="98" customFormat="1" ht="3" customHeight="1" thickTop="1" thickBot="1">
      <c r="A49" s="169"/>
      <c r="B49" s="78"/>
      <c r="C49" s="78"/>
      <c r="D49" s="78"/>
      <c r="E49" s="84"/>
      <c r="F49" s="78"/>
      <c r="G49" s="119"/>
      <c r="H49" s="78"/>
      <c r="I49" s="119"/>
      <c r="J49" s="169"/>
      <c r="K49" s="84"/>
      <c r="L49" s="78"/>
      <c r="M49" s="78"/>
      <c r="N49" s="78"/>
      <c r="O49" s="78"/>
      <c r="P49" s="114"/>
      <c r="Q49" s="536"/>
      <c r="R49" s="594" t="s">
        <v>1098</v>
      </c>
      <c r="S49" s="594"/>
      <c r="T49" s="594"/>
      <c r="U49" s="594"/>
      <c r="V49" s="594"/>
      <c r="W49" s="594"/>
      <c r="X49" s="594"/>
      <c r="Y49" s="594"/>
      <c r="Z49" s="594"/>
      <c r="AA49" s="594"/>
      <c r="AB49" s="594"/>
    </row>
    <row r="50" spans="1:28" s="98" customFormat="1" ht="15.6" customHeight="1" thickTop="1" thickBot="1">
      <c r="A50" s="410" t="str">
        <f>IF(計算シート!C67=0,"生計維持者の","")&amp;"扶養の情報（本人や他の生計維持者、配偶者は含めないでください）"</f>
        <v>扶養の情報（本人や他の生計維持者、配偶者は含めないでください）</v>
      </c>
      <c r="B50" s="434"/>
      <c r="C50" s="434"/>
      <c r="D50" s="434"/>
      <c r="E50" s="434"/>
      <c r="F50" s="411"/>
      <c r="G50" s="113"/>
      <c r="H50" s="413"/>
      <c r="I50" s="113"/>
      <c r="J50" s="167"/>
      <c r="K50" s="76"/>
      <c r="L50" s="126" t="str">
        <f>IF(L33="生計維持者１の配偶者","(配偶者の扶養の情報）","")</f>
        <v/>
      </c>
      <c r="M50" s="189"/>
      <c r="N50" s="126"/>
      <c r="O50" s="97"/>
      <c r="P50" s="114"/>
      <c r="Q50" s="536"/>
      <c r="R50" s="594"/>
      <c r="S50" s="594"/>
      <c r="T50" s="594"/>
      <c r="U50" s="594"/>
      <c r="V50" s="594"/>
      <c r="W50" s="594"/>
      <c r="X50" s="594"/>
      <c r="Y50" s="594"/>
      <c r="Z50" s="594"/>
      <c r="AA50" s="594"/>
      <c r="AB50" s="594"/>
    </row>
    <row r="51" spans="1:28" s="98" customFormat="1" ht="12.95" customHeight="1" thickBot="1">
      <c r="A51" s="174" t="s">
        <v>344</v>
      </c>
      <c r="B51" s="559" t="s">
        <v>0</v>
      </c>
      <c r="C51" s="560"/>
      <c r="D51" s="560"/>
      <c r="E51" s="430"/>
      <c r="F51" s="58">
        <v>0</v>
      </c>
      <c r="G51" s="412" t="s">
        <v>48</v>
      </c>
      <c r="H51" s="486" t="s">
        <v>938</v>
      </c>
      <c r="I51" s="113"/>
      <c r="J51" s="176" t="s">
        <v>353</v>
      </c>
      <c r="K51" s="76"/>
      <c r="L51" s="58">
        <v>0</v>
      </c>
      <c r="M51" s="412" t="s">
        <v>48</v>
      </c>
      <c r="N51" s="444" t="s">
        <v>1121</v>
      </c>
      <c r="O51" s="102"/>
      <c r="P51" s="114"/>
      <c r="Q51" s="536"/>
      <c r="R51" s="594"/>
      <c r="S51" s="594"/>
      <c r="T51" s="594"/>
      <c r="U51" s="594"/>
      <c r="V51" s="594"/>
      <c r="W51" s="594"/>
      <c r="X51" s="594"/>
      <c r="Y51" s="594"/>
      <c r="Z51" s="594"/>
      <c r="AA51" s="594"/>
      <c r="AB51" s="594"/>
    </row>
    <row r="52" spans="1:28" s="98" customFormat="1" ht="12.95" customHeight="1" thickBot="1">
      <c r="A52" s="174" t="s">
        <v>345</v>
      </c>
      <c r="B52" s="559" t="s">
        <v>1</v>
      </c>
      <c r="C52" s="560"/>
      <c r="D52" s="560"/>
      <c r="E52" s="430"/>
      <c r="F52" s="58">
        <v>0</v>
      </c>
      <c r="G52" s="412" t="s">
        <v>48</v>
      </c>
      <c r="H52" s="487" t="s">
        <v>939</v>
      </c>
      <c r="I52" s="113"/>
      <c r="J52" s="178" t="s">
        <v>354</v>
      </c>
      <c r="K52" s="76"/>
      <c r="L52" s="58">
        <v>0</v>
      </c>
      <c r="M52" s="412" t="s">
        <v>48</v>
      </c>
      <c r="N52" s="445" t="s">
        <v>1122</v>
      </c>
      <c r="O52" s="102"/>
      <c r="P52" s="114"/>
      <c r="Q52" s="536"/>
      <c r="R52" s="594"/>
      <c r="S52" s="594"/>
      <c r="T52" s="594"/>
      <c r="U52" s="594"/>
      <c r="V52" s="594"/>
      <c r="W52" s="594"/>
      <c r="X52" s="594"/>
      <c r="Y52" s="594"/>
      <c r="Z52" s="594"/>
      <c r="AA52" s="594"/>
      <c r="AB52" s="594"/>
    </row>
    <row r="53" spans="1:28" s="98" customFormat="1" ht="12.95" customHeight="1" thickBot="1">
      <c r="A53" s="174" t="s">
        <v>346</v>
      </c>
      <c r="B53" s="559" t="s">
        <v>2</v>
      </c>
      <c r="C53" s="560"/>
      <c r="D53" s="560"/>
      <c r="E53" s="430"/>
      <c r="F53" s="58">
        <v>0</v>
      </c>
      <c r="G53" s="412" t="s">
        <v>48</v>
      </c>
      <c r="H53" s="487" t="s">
        <v>937</v>
      </c>
      <c r="I53" s="113"/>
      <c r="J53" s="178" t="s">
        <v>355</v>
      </c>
      <c r="K53" s="76"/>
      <c r="L53" s="58">
        <v>0</v>
      </c>
      <c r="M53" s="446" t="s">
        <v>48</v>
      </c>
      <c r="N53" s="445" t="s">
        <v>937</v>
      </c>
      <c r="O53" s="102"/>
      <c r="P53" s="114"/>
      <c r="Q53" s="536"/>
      <c r="R53" s="594" t="s">
        <v>1099</v>
      </c>
      <c r="S53" s="594"/>
      <c r="T53" s="594"/>
      <c r="U53" s="594"/>
      <c r="V53" s="594"/>
      <c r="W53" s="594"/>
      <c r="X53" s="594"/>
      <c r="Y53" s="594"/>
      <c r="Z53" s="594"/>
      <c r="AA53" s="594"/>
      <c r="AB53" s="594"/>
    </row>
    <row r="54" spans="1:28" s="98" customFormat="1" ht="12.95" customHeight="1" thickBot="1">
      <c r="A54" s="174" t="s">
        <v>347</v>
      </c>
      <c r="B54" s="559" t="s">
        <v>3</v>
      </c>
      <c r="C54" s="560"/>
      <c r="D54" s="560"/>
      <c r="E54" s="430"/>
      <c r="F54" s="58">
        <v>3</v>
      </c>
      <c r="G54" s="416" t="s">
        <v>48</v>
      </c>
      <c r="H54" s="58">
        <v>2</v>
      </c>
      <c r="I54" s="414" t="s">
        <v>48</v>
      </c>
      <c r="J54" s="178" t="s">
        <v>356</v>
      </c>
      <c r="K54" s="76"/>
      <c r="L54" s="58">
        <v>0</v>
      </c>
      <c r="M54" s="447" t="s">
        <v>48</v>
      </c>
      <c r="N54" s="58">
        <v>0</v>
      </c>
      <c r="O54" s="448" t="s">
        <v>48</v>
      </c>
      <c r="P54" s="114"/>
      <c r="Q54" s="536"/>
      <c r="R54" s="594"/>
      <c r="S54" s="594"/>
      <c r="T54" s="594"/>
      <c r="U54" s="594"/>
      <c r="V54" s="594"/>
      <c r="W54" s="594"/>
      <c r="X54" s="594"/>
      <c r="Y54" s="594"/>
      <c r="Z54" s="594"/>
      <c r="AA54" s="594"/>
      <c r="AB54" s="594"/>
    </row>
    <row r="55" spans="1:28" s="98" customFormat="1" ht="12.95" customHeight="1" thickBot="1">
      <c r="A55" s="174" t="s">
        <v>348</v>
      </c>
      <c r="B55" s="559" t="s">
        <v>4</v>
      </c>
      <c r="C55" s="560"/>
      <c r="D55" s="560"/>
      <c r="E55" s="430"/>
      <c r="F55" s="58">
        <v>0</v>
      </c>
      <c r="G55" s="416" t="s">
        <v>48</v>
      </c>
      <c r="H55" s="512" t="s">
        <v>1073</v>
      </c>
      <c r="I55" s="415"/>
      <c r="J55" s="178" t="s">
        <v>357</v>
      </c>
      <c r="K55" s="76"/>
      <c r="L55" s="58">
        <v>0</v>
      </c>
      <c r="M55" s="407" t="s">
        <v>48</v>
      </c>
      <c r="N55" s="512" t="str">
        <f>IF(F36="はい","(項番42の内数)","")</f>
        <v>(項番42の内数)</v>
      </c>
      <c r="O55" s="102"/>
      <c r="P55" s="114"/>
      <c r="Q55" s="536"/>
      <c r="R55" s="594"/>
      <c r="S55" s="594"/>
      <c r="T55" s="594"/>
      <c r="U55" s="594"/>
      <c r="V55" s="594"/>
      <c r="W55" s="594"/>
      <c r="X55" s="594"/>
      <c r="Y55" s="594"/>
      <c r="Z55" s="594"/>
      <c r="AA55" s="594"/>
      <c r="AB55" s="594"/>
    </row>
    <row r="56" spans="1:28" s="98" customFormat="1" ht="12.95" customHeight="1" thickBot="1">
      <c r="A56" s="174" t="s">
        <v>349</v>
      </c>
      <c r="B56" s="559" t="s">
        <v>5</v>
      </c>
      <c r="C56" s="560"/>
      <c r="D56" s="560"/>
      <c r="E56" s="430"/>
      <c r="F56" s="58">
        <v>0</v>
      </c>
      <c r="G56" s="418" t="s">
        <v>48</v>
      </c>
      <c r="H56" s="115"/>
      <c r="I56" s="113"/>
      <c r="J56" s="178" t="s">
        <v>358</v>
      </c>
      <c r="K56" s="76"/>
      <c r="L56" s="58">
        <v>0</v>
      </c>
      <c r="M56" s="407" t="s">
        <v>48</v>
      </c>
      <c r="N56" s="115"/>
      <c r="O56" s="102"/>
      <c r="P56" s="114"/>
      <c r="Q56" s="536"/>
      <c r="R56" s="594"/>
      <c r="S56" s="594"/>
      <c r="T56" s="594"/>
      <c r="U56" s="594"/>
      <c r="V56" s="594"/>
      <c r="W56" s="594"/>
      <c r="X56" s="594"/>
      <c r="Y56" s="594"/>
      <c r="Z56" s="594"/>
      <c r="AA56" s="594"/>
      <c r="AB56" s="594"/>
    </row>
    <row r="57" spans="1:28" s="98" customFormat="1" ht="12.95" customHeight="1" thickBot="1">
      <c r="A57" s="174" t="s">
        <v>350</v>
      </c>
      <c r="B57" s="559" t="s">
        <v>299</v>
      </c>
      <c r="C57" s="560"/>
      <c r="D57" s="560"/>
      <c r="E57" s="430"/>
      <c r="F57" s="58">
        <v>0</v>
      </c>
      <c r="G57" s="418" t="s">
        <v>48</v>
      </c>
      <c r="H57" s="115"/>
      <c r="I57" s="113"/>
      <c r="J57" s="178" t="s">
        <v>359</v>
      </c>
      <c r="K57" s="76"/>
      <c r="L57" s="58">
        <v>0</v>
      </c>
      <c r="M57" s="407" t="s">
        <v>48</v>
      </c>
      <c r="N57" s="115"/>
      <c r="O57" s="102"/>
      <c r="P57" s="114"/>
      <c r="Q57" s="536"/>
      <c r="R57" s="594"/>
      <c r="S57" s="594"/>
      <c r="T57" s="594"/>
      <c r="U57" s="594"/>
      <c r="V57" s="594"/>
      <c r="W57" s="594"/>
      <c r="X57" s="594"/>
      <c r="Y57" s="594"/>
      <c r="Z57" s="594"/>
      <c r="AA57" s="594"/>
      <c r="AB57" s="594"/>
    </row>
    <row r="58" spans="1:28" s="98" customFormat="1" ht="12.95" customHeight="1" thickBot="1">
      <c r="A58" s="174" t="s">
        <v>351</v>
      </c>
      <c r="B58" s="559" t="s">
        <v>300</v>
      </c>
      <c r="C58" s="560"/>
      <c r="D58" s="560"/>
      <c r="E58" s="435"/>
      <c r="F58" s="58">
        <v>0</v>
      </c>
      <c r="G58" s="418" t="s">
        <v>48</v>
      </c>
      <c r="H58" s="115"/>
      <c r="I58" s="113"/>
      <c r="J58" s="178" t="s">
        <v>360</v>
      </c>
      <c r="K58" s="76"/>
      <c r="L58" s="58">
        <v>0</v>
      </c>
      <c r="M58" s="407" t="s">
        <v>48</v>
      </c>
      <c r="N58" s="115"/>
      <c r="O58" s="102"/>
      <c r="P58" s="114"/>
      <c r="Q58" s="536"/>
      <c r="R58" s="594" t="s">
        <v>1084</v>
      </c>
      <c r="S58" s="594"/>
      <c r="T58" s="594"/>
      <c r="U58" s="594"/>
      <c r="V58" s="594"/>
      <c r="W58" s="594"/>
      <c r="X58" s="594"/>
      <c r="Y58" s="594"/>
      <c r="Z58" s="594"/>
      <c r="AA58" s="594"/>
      <c r="AB58" s="594"/>
    </row>
    <row r="59" spans="1:28" s="98" customFormat="1" ht="12.95" customHeight="1" thickBot="1">
      <c r="A59" s="175" t="s">
        <v>352</v>
      </c>
      <c r="B59" s="554" t="s">
        <v>301</v>
      </c>
      <c r="C59" s="555"/>
      <c r="D59" s="555"/>
      <c r="E59" s="82"/>
      <c r="F59" s="58">
        <v>0</v>
      </c>
      <c r="G59" s="417" t="s">
        <v>48</v>
      </c>
      <c r="H59" s="420"/>
      <c r="I59" s="419"/>
      <c r="J59" s="181" t="s">
        <v>361</v>
      </c>
      <c r="K59" s="118"/>
      <c r="L59" s="58">
        <v>0</v>
      </c>
      <c r="M59" s="417" t="s">
        <v>48</v>
      </c>
      <c r="N59" s="420"/>
      <c r="O59" s="127"/>
      <c r="P59" s="114"/>
      <c r="Q59" s="536"/>
      <c r="R59" s="594"/>
      <c r="S59" s="594"/>
      <c r="T59" s="594"/>
      <c r="U59" s="594"/>
      <c r="V59" s="594"/>
      <c r="W59" s="594"/>
      <c r="X59" s="594"/>
      <c r="Y59" s="594"/>
      <c r="Z59" s="594"/>
      <c r="AA59" s="594"/>
      <c r="AB59" s="594"/>
    </row>
    <row r="60" spans="1:28" ht="3" customHeight="1" thickTop="1">
      <c r="E60" s="65"/>
      <c r="F60" s="66"/>
      <c r="G60" s="67"/>
      <c r="H60" s="66"/>
      <c r="I60" s="67"/>
      <c r="K60" s="65"/>
      <c r="L60" s="68"/>
      <c r="M60" s="68"/>
      <c r="N60" s="68"/>
      <c r="O60" s="68"/>
      <c r="P60" s="67"/>
      <c r="Q60" s="535"/>
      <c r="R60" s="594"/>
      <c r="S60" s="594"/>
      <c r="T60" s="594"/>
      <c r="U60" s="594"/>
      <c r="V60" s="594"/>
      <c r="W60" s="594"/>
      <c r="X60" s="594"/>
      <c r="Y60" s="594"/>
      <c r="Z60" s="594"/>
      <c r="AA60" s="594"/>
      <c r="AB60" s="594"/>
    </row>
    <row r="61" spans="1:28" ht="3.75" customHeight="1">
      <c r="Q61" s="535"/>
      <c r="R61" s="594"/>
      <c r="S61" s="594"/>
      <c r="T61" s="594"/>
      <c r="U61" s="594"/>
      <c r="V61" s="594"/>
      <c r="W61" s="594"/>
      <c r="X61" s="594"/>
      <c r="Y61" s="594"/>
      <c r="Z61" s="594"/>
      <c r="AA61" s="594"/>
      <c r="AB61" s="594"/>
    </row>
    <row r="62" spans="1:28">
      <c r="B62" t="s">
        <v>307</v>
      </c>
      <c r="Q62" s="535"/>
      <c r="R62" s="514" t="s">
        <v>613</v>
      </c>
      <c r="S62" s="513"/>
      <c r="T62" s="513"/>
      <c r="U62" s="513"/>
      <c r="V62" s="513"/>
      <c r="W62" s="513"/>
      <c r="X62" s="513"/>
      <c r="Y62" s="513"/>
      <c r="Z62" s="513"/>
      <c r="AA62" s="513"/>
      <c r="AB62" s="513"/>
    </row>
    <row r="63" spans="1:28" ht="13.5" customHeight="1">
      <c r="B63" s="94" t="str">
        <f>"１　"&amp;IF(計算シート!C67=0,"全ての生計維持者","本人及び配偶者")&amp;"の情報を入力したうえで印刷し、収入等の証明書類（和訳付）を添付してください。国内外を問わず扶養親族がいる場合、"</f>
        <v>１　本人及び配偶者の情報を入力したうえで印刷し、収入等の証明書類（和訳付）を添付してください。国内外を問わず扶養親族がいる場合、</v>
      </c>
      <c r="C63" s="94"/>
      <c r="D63" s="94"/>
      <c r="E63" s="94"/>
      <c r="F63" s="94"/>
      <c r="Q63" s="535"/>
      <c r="R63" s="594" t="s">
        <v>624</v>
      </c>
      <c r="S63" s="594"/>
      <c r="T63" s="594"/>
      <c r="U63" s="594"/>
      <c r="V63" s="594"/>
      <c r="W63" s="594"/>
      <c r="X63" s="594"/>
      <c r="Y63" s="594"/>
      <c r="Z63" s="594"/>
      <c r="AA63" s="594"/>
      <c r="AB63" s="594"/>
    </row>
    <row r="64" spans="1:28" ht="13.5" customHeight="1">
      <c r="B64" s="95" t="str">
        <f>"　"&amp;IF(計算シート!C67=0,"生計維持","扶養")&amp;"者との関係を明らかにする書類も必要です。国内に居住している"&amp;IF(計算シート!C67=0,"生計維持者","本人又は配偶者")&amp;"については、マイナンバーを提出してください。"</f>
        <v>　扶養者との関係を明らかにする書類も必要です。国内に居住している本人又は配偶者については、マイナンバーを提出してください。</v>
      </c>
      <c r="C64" s="95"/>
      <c r="D64" s="95"/>
      <c r="E64" s="95"/>
      <c r="F64" s="95"/>
      <c r="Q64" s="535"/>
      <c r="R64" s="594"/>
      <c r="S64" s="594"/>
      <c r="T64" s="594"/>
      <c r="U64" s="594"/>
      <c r="V64" s="594"/>
      <c r="W64" s="594"/>
      <c r="X64" s="594"/>
      <c r="Y64" s="594"/>
      <c r="Z64" s="594"/>
      <c r="AA64" s="594"/>
      <c r="AB64" s="594"/>
    </row>
    <row r="65" spans="1:28">
      <c r="B65" s="9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C65" s="95"/>
      <c r="D65" s="95"/>
      <c r="E65" s="95"/>
      <c r="F65" s="95"/>
      <c r="Q65" s="535"/>
      <c r="R65" s="594"/>
      <c r="S65" s="594"/>
      <c r="T65" s="594"/>
      <c r="U65" s="594"/>
      <c r="V65" s="594"/>
      <c r="W65" s="594"/>
      <c r="X65" s="594"/>
      <c r="Y65" s="594"/>
      <c r="Z65" s="594"/>
      <c r="AA65" s="594"/>
      <c r="AB65" s="594"/>
    </row>
    <row r="66" spans="1:28">
      <c r="B66"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C66" s="149"/>
      <c r="D66" s="149"/>
      <c r="E66" s="149"/>
      <c r="F66" s="149"/>
      <c r="Q66" s="535"/>
      <c r="R66" s="594"/>
      <c r="S66" s="594"/>
      <c r="T66" s="594"/>
      <c r="U66" s="594"/>
      <c r="V66" s="594"/>
      <c r="W66" s="594"/>
      <c r="X66" s="594"/>
      <c r="Y66" s="594"/>
      <c r="Z66" s="594"/>
      <c r="AA66" s="594"/>
      <c r="AB66" s="594"/>
    </row>
    <row r="67" spans="1:28" ht="13.5" customHeight="1">
      <c r="B67" s="149" t="s">
        <v>410</v>
      </c>
      <c r="C67" s="149"/>
      <c r="D67" s="149"/>
      <c r="E67" s="149"/>
      <c r="F67" s="149"/>
      <c r="G67" s="150"/>
      <c r="H67" s="150"/>
      <c r="I67" s="150"/>
      <c r="J67" s="150"/>
      <c r="K67" s="150"/>
      <c r="L67" s="150"/>
      <c r="M67" s="150"/>
      <c r="N67" s="150"/>
      <c r="Q67" s="535"/>
      <c r="R67" s="594" t="s">
        <v>1100</v>
      </c>
      <c r="S67" s="594"/>
      <c r="T67" s="594"/>
      <c r="U67" s="594"/>
      <c r="V67" s="594"/>
      <c r="W67" s="594"/>
      <c r="X67" s="594"/>
      <c r="Y67" s="594"/>
      <c r="Z67" s="594"/>
      <c r="AA67" s="594"/>
      <c r="AB67" s="594"/>
    </row>
    <row r="68" spans="1:28" ht="10.5" customHeight="1">
      <c r="A68" s="57"/>
      <c r="B68" s="196" t="s">
        <v>302</v>
      </c>
      <c r="C68" s="196"/>
      <c r="D68" s="196"/>
      <c r="E68" s="196"/>
      <c r="F68" s="196"/>
      <c r="G68" s="57"/>
      <c r="H68" s="57"/>
      <c r="I68" s="57"/>
      <c r="J68" s="57"/>
      <c r="K68" s="57"/>
      <c r="L68" s="57"/>
      <c r="M68" s="57"/>
      <c r="N68" s="57"/>
      <c r="O68" s="57"/>
      <c r="P68" s="57"/>
      <c r="Q68" s="535"/>
      <c r="R68" s="594"/>
      <c r="S68" s="594"/>
      <c r="T68" s="594"/>
      <c r="U68" s="594"/>
      <c r="V68" s="594"/>
      <c r="W68" s="594"/>
      <c r="X68" s="594"/>
      <c r="Y68" s="594"/>
      <c r="Z68" s="594"/>
      <c r="AA68" s="594"/>
      <c r="AB68" s="594"/>
    </row>
    <row r="69" spans="1:28" ht="13.5" customHeight="1">
      <c r="A69" s="57"/>
      <c r="B69" s="332" t="str">
        <f>"　また、「扶養親族」とは、"&amp;IF(計算シート!C67=0,"生計維持者","扶養者")&amp;"の配偶者でない６親等内の血族又は３親等内の姻族で、他者の扶養親族になっておらず、合計所得金額が"</f>
        <v>　また、「扶養親族」とは、扶養者の配偶者でない６親等内の血族又は３親等内の姻族で、他者の扶養親族になっておらず、合計所得金額が</v>
      </c>
      <c r="C69" s="332"/>
      <c r="D69" s="332"/>
      <c r="E69" s="332"/>
      <c r="F69" s="332"/>
      <c r="G69" s="57"/>
      <c r="H69" s="57"/>
      <c r="I69" s="57"/>
      <c r="J69" s="57"/>
      <c r="K69" s="57"/>
      <c r="L69" s="57"/>
      <c r="M69" s="57"/>
      <c r="N69" s="57"/>
      <c r="O69" s="57"/>
      <c r="P69" s="57"/>
      <c r="Q69" s="535"/>
      <c r="R69" s="594"/>
      <c r="S69" s="594"/>
      <c r="T69" s="594"/>
      <c r="U69" s="594"/>
      <c r="V69" s="594"/>
      <c r="W69" s="594"/>
      <c r="X69" s="594"/>
      <c r="Y69" s="594"/>
      <c r="Z69" s="594"/>
      <c r="AA69" s="594"/>
      <c r="AB69" s="594"/>
    </row>
    <row r="70" spans="1:28" ht="13.5" customHeight="1">
      <c r="A70" s="57"/>
      <c r="B70" s="332" t="str">
        <f>"　48万円以下の、"&amp;IF(計算シート!C67=0,"生計維持者","扶養者")&amp;"と生計を一にしている者（住所は同一である必要はありません。）をいいますので、該当する者を申告してください。"</f>
        <v>　48万円以下の、扶養者と生計を一にしている者（住所は同一である必要はありません。）をいいますので、該当する者を申告してください。</v>
      </c>
      <c r="C70" s="332"/>
      <c r="D70" s="332"/>
      <c r="E70" s="332"/>
      <c r="F70" s="332"/>
      <c r="G70" s="57"/>
      <c r="H70" s="57"/>
      <c r="I70" s="57"/>
      <c r="J70" s="57"/>
      <c r="K70" s="57"/>
      <c r="L70" s="57"/>
      <c r="M70" s="57"/>
      <c r="N70" s="57"/>
      <c r="O70" s="57"/>
      <c r="P70" s="57"/>
      <c r="Q70" s="535"/>
      <c r="R70" s="594"/>
      <c r="S70" s="594"/>
      <c r="T70" s="594"/>
      <c r="U70" s="594"/>
      <c r="V70" s="594"/>
      <c r="W70" s="594"/>
      <c r="X70" s="594"/>
      <c r="Y70" s="594"/>
      <c r="Z70" s="594"/>
      <c r="AA70" s="594"/>
      <c r="AB70" s="594"/>
    </row>
    <row r="71" spans="1:28" ht="13.5" customHeight="1">
      <c r="A71" s="139"/>
      <c r="B71" s="197" t="s">
        <v>411</v>
      </c>
      <c r="C71" s="197"/>
      <c r="D71" s="197"/>
      <c r="E71" s="197"/>
      <c r="F71" s="197"/>
      <c r="G71" s="139"/>
      <c r="H71" s="139"/>
      <c r="I71" s="139"/>
      <c r="J71" s="139"/>
      <c r="K71" s="139"/>
      <c r="L71" s="139"/>
      <c r="M71" s="139"/>
      <c r="N71" s="139"/>
      <c r="O71" s="139"/>
      <c r="P71" s="139"/>
      <c r="Q71" s="538"/>
      <c r="R71" s="594" t="s">
        <v>625</v>
      </c>
      <c r="S71" s="594"/>
      <c r="T71" s="594"/>
      <c r="U71" s="594"/>
      <c r="V71" s="594"/>
      <c r="W71" s="594"/>
      <c r="X71" s="594"/>
      <c r="Y71" s="594"/>
      <c r="Z71" s="594"/>
      <c r="AA71" s="594"/>
      <c r="AB71" s="594"/>
    </row>
    <row r="72" spans="1:28">
      <c r="B72" s="92" t="s">
        <v>298</v>
      </c>
      <c r="C72" s="92"/>
      <c r="D72" s="92"/>
      <c r="E72" s="92"/>
      <c r="F72" s="92"/>
      <c r="Q72" s="535"/>
      <c r="R72" s="594"/>
      <c r="S72" s="594"/>
      <c r="T72" s="594"/>
      <c r="U72" s="594"/>
      <c r="V72" s="594"/>
      <c r="W72" s="594"/>
      <c r="X72" s="594"/>
      <c r="Y72" s="594"/>
      <c r="Z72" s="594"/>
      <c r="AA72" s="594"/>
      <c r="AB72" s="594"/>
    </row>
    <row r="73" spans="1:28" ht="10.5" customHeight="1">
      <c r="A73" s="91"/>
      <c r="B73" s="129" t="s">
        <v>390</v>
      </c>
      <c r="C73" s="499">
        <v>0</v>
      </c>
      <c r="D73" s="500"/>
      <c r="E73" s="408"/>
      <c r="F73" s="467"/>
      <c r="G73" s="497" t="s">
        <v>943</v>
      </c>
      <c r="H73" s="503">
        <v>2</v>
      </c>
      <c r="I73" s="549" t="s">
        <v>945</v>
      </c>
      <c r="J73" s="550"/>
      <c r="K73" s="459">
        <v>0</v>
      </c>
      <c r="L73" s="489"/>
      <c r="M73" s="489"/>
      <c r="N73" s="489"/>
      <c r="O73" s="489"/>
      <c r="Q73" s="535"/>
      <c r="R73" s="332" t="s">
        <v>418</v>
      </c>
      <c r="S73" s="203"/>
      <c r="T73" s="203"/>
      <c r="U73" s="203"/>
      <c r="V73" s="203"/>
      <c r="W73" s="203"/>
      <c r="X73" s="203"/>
      <c r="Y73" s="203"/>
      <c r="Z73" s="203"/>
      <c r="AA73" s="203"/>
      <c r="AB73" s="203"/>
    </row>
    <row r="74" spans="1:28" ht="10.5" customHeight="1">
      <c r="A74" s="93"/>
      <c r="B74" s="133" t="s">
        <v>391</v>
      </c>
      <c r="C74" s="501">
        <v>226700</v>
      </c>
      <c r="D74" s="502">
        <v>0</v>
      </c>
      <c r="E74" s="134"/>
      <c r="F74" s="468"/>
      <c r="G74" s="498" t="s">
        <v>944</v>
      </c>
      <c r="H74" s="504">
        <v>1</v>
      </c>
      <c r="I74" s="196"/>
      <c r="J74" s="196"/>
      <c r="K74" s="196"/>
      <c r="L74" s="452"/>
      <c r="M74" s="452"/>
      <c r="N74" s="452"/>
      <c r="O74" s="196"/>
      <c r="P74" s="57"/>
      <c r="Q74" s="535"/>
      <c r="R74" s="517" t="s">
        <v>626</v>
      </c>
      <c r="S74" s="203"/>
      <c r="T74" s="203"/>
      <c r="U74" s="203"/>
      <c r="V74" s="203"/>
      <c r="W74" s="203"/>
      <c r="X74" s="203"/>
      <c r="Y74" s="203"/>
      <c r="Z74" s="203"/>
      <c r="AA74" s="203"/>
      <c r="AB74" s="203"/>
    </row>
    <row r="75" spans="1:28" ht="10.5" hidden="1" customHeight="1">
      <c r="B75" s="151" t="s">
        <v>392</v>
      </c>
      <c r="C75" s="153">
        <f>IF(計算シート!C62=0,計算シート!C41,計算シート!C61)</f>
        <v>0</v>
      </c>
      <c r="D75" s="152">
        <f>IF(計算シート!C62=0,計算シート!D41,計算シート!D61)</f>
        <v>0</v>
      </c>
      <c r="E75" s="152"/>
      <c r="F75" s="457"/>
      <c r="I75" s="453"/>
      <c r="J75" s="453"/>
      <c r="K75" s="453"/>
      <c r="L75" s="57"/>
      <c r="M75" s="454"/>
      <c r="N75" s="454"/>
      <c r="O75" s="453"/>
      <c r="P75" s="57"/>
      <c r="Q75" s="539"/>
      <c r="S75" s="373"/>
      <c r="T75" s="373"/>
      <c r="U75" s="373"/>
      <c r="V75" s="373"/>
      <c r="W75" s="373"/>
      <c r="X75" s="373"/>
      <c r="Y75" s="373"/>
      <c r="Z75" s="373"/>
      <c r="AA75" s="373"/>
      <c r="AB75" s="373"/>
    </row>
    <row r="76" spans="1:28" ht="10.5" hidden="1" customHeight="1">
      <c r="B76" s="157" t="s">
        <v>393</v>
      </c>
      <c r="C76" s="159" t="str">
        <f>IF(計算シート!C62=0,計算シート!C42,"-")</f>
        <v>-</v>
      </c>
      <c r="D76" s="488" t="str">
        <f>IF(計算シート!C62=0,計算シート!D42,"-")</f>
        <v>-</v>
      </c>
      <c r="E76" s="158"/>
      <c r="F76" s="458"/>
      <c r="H76" s="159"/>
      <c r="I76" s="453"/>
      <c r="J76" s="453"/>
      <c r="K76" s="453"/>
      <c r="L76" s="57"/>
      <c r="M76" s="454"/>
      <c r="N76" s="454"/>
      <c r="O76" s="453"/>
      <c r="Q76" s="535"/>
      <c r="S76" s="373"/>
      <c r="T76" s="373"/>
      <c r="U76" s="373"/>
      <c r="V76" s="373"/>
      <c r="W76" s="373"/>
      <c r="X76" s="373"/>
      <c r="Y76" s="373"/>
      <c r="Z76" s="373"/>
      <c r="AA76" s="373"/>
      <c r="AB76" s="373"/>
    </row>
  </sheetData>
  <sheetProtection selectLockedCells="1"/>
  <protectedRanges>
    <protectedRange sqref="D10:E18 F24:F31 F35:F40 H11:H12 F43:F48 F51:F59 L51:L59 L8:N8 H51:H59 H43:H48 H35:H40 L35:L39 L43:L48 I13:I14 N10:N14 L10:M12 G15:G18 N37 N44:N48 N51:N59" name="範囲1"/>
  </protectedRanges>
  <mergeCells count="68">
    <mergeCell ref="R67:AB70"/>
    <mergeCell ref="R71:AB72"/>
    <mergeCell ref="R30:AB33"/>
    <mergeCell ref="R53:AB57"/>
    <mergeCell ref="R4:AB7"/>
    <mergeCell ref="R8:AB9"/>
    <mergeCell ref="R20:AB24"/>
    <mergeCell ref="R58:AB61"/>
    <mergeCell ref="R63:AB66"/>
    <mergeCell ref="R15:AB19"/>
    <mergeCell ref="R10:AB14"/>
    <mergeCell ref="R41:AB48"/>
    <mergeCell ref="R49:AB52"/>
    <mergeCell ref="B56:D56"/>
    <mergeCell ref="B57:D57"/>
    <mergeCell ref="B58:D58"/>
    <mergeCell ref="B59:D59"/>
    <mergeCell ref="I73:J73"/>
    <mergeCell ref="R1:AB1"/>
    <mergeCell ref="B46:D46"/>
    <mergeCell ref="B51:D51"/>
    <mergeCell ref="B52:D52"/>
    <mergeCell ref="B53:D53"/>
    <mergeCell ref="B30:D30"/>
    <mergeCell ref="J30:M30"/>
    <mergeCell ref="B31:D31"/>
    <mergeCell ref="B35:D35"/>
    <mergeCell ref="B36:D36"/>
    <mergeCell ref="B37:D37"/>
    <mergeCell ref="B27:D27"/>
    <mergeCell ref="J27:M27"/>
    <mergeCell ref="B28:D28"/>
    <mergeCell ref="J28:M28"/>
    <mergeCell ref="B29:D29"/>
    <mergeCell ref="B54:D54"/>
    <mergeCell ref="B55:D55"/>
    <mergeCell ref="B38:D38"/>
    <mergeCell ref="B39:D39"/>
    <mergeCell ref="B40:D40"/>
    <mergeCell ref="B43:D43"/>
    <mergeCell ref="B44:D44"/>
    <mergeCell ref="B45:D45"/>
    <mergeCell ref="J29:M29"/>
    <mergeCell ref="K17:N17"/>
    <mergeCell ref="B23:D23"/>
    <mergeCell ref="B24:D24"/>
    <mergeCell ref="B25:D25"/>
    <mergeCell ref="B26:D26"/>
    <mergeCell ref="J26:M26"/>
    <mergeCell ref="D15:F15"/>
    <mergeCell ref="G15:H15"/>
    <mergeCell ref="I15:J15"/>
    <mergeCell ref="D17:F17"/>
    <mergeCell ref="G17:H17"/>
    <mergeCell ref="I17:J17"/>
    <mergeCell ref="H10:K10"/>
    <mergeCell ref="L10:N10"/>
    <mergeCell ref="D11:F11"/>
    <mergeCell ref="J11:N11"/>
    <mergeCell ref="D13:F13"/>
    <mergeCell ref="G13:H13"/>
    <mergeCell ref="I13:L13"/>
    <mergeCell ref="L9:N9"/>
    <mergeCell ref="A1:O1"/>
    <mergeCell ref="O2:Q3"/>
    <mergeCell ref="B5:O6"/>
    <mergeCell ref="H8:K8"/>
    <mergeCell ref="L8:N8"/>
  </mergeCells>
  <phoneticPr fontId="2"/>
  <conditionalFormatting sqref="H11">
    <cfRule type="expression" dxfId="56" priority="21">
      <formula>$C$11="申込受付番号"</formula>
    </cfRule>
  </conditionalFormatting>
  <conditionalFormatting sqref="B40 H40:I40 E40:F40 L40">
    <cfRule type="expression" dxfId="55" priority="23">
      <formula>$F$36="はい"</formula>
    </cfRule>
  </conditionalFormatting>
  <conditionalFormatting sqref="K51:L59 H37:I38 E37:F38 B37:B38 K34:M40 K42:M48">
    <cfRule type="expression" dxfId="54" priority="24">
      <formula>$F$36="いいえ"</formula>
    </cfRule>
  </conditionalFormatting>
  <conditionalFormatting sqref="L74:O74 M75:O76 F75:F76">
    <cfRule type="expression" dxfId="53" priority="25">
      <formula>OR($F$36="いいえ",$F$37="いいえ")</formula>
    </cfRule>
  </conditionalFormatting>
  <conditionalFormatting sqref="B28:B31 E28:G31">
    <cfRule type="expression" dxfId="52" priority="26">
      <formula>$F$27="いいえ"</formula>
    </cfRule>
  </conditionalFormatting>
  <conditionalFormatting sqref="B26 E26:F26">
    <cfRule type="expression" dxfId="51" priority="27">
      <formula>$F$25&lt;&gt;"特別の障がい者である"</formula>
    </cfRule>
  </conditionalFormatting>
  <conditionalFormatting sqref="G40">
    <cfRule type="expression" dxfId="50" priority="11">
      <formula>$F$36="はい"</formula>
    </cfRule>
  </conditionalFormatting>
  <conditionalFormatting sqref="G37:G38">
    <cfRule type="expression" dxfId="49" priority="12">
      <formula>$F$36="いいえ"</formula>
    </cfRule>
  </conditionalFormatting>
  <conditionalFormatting sqref="M51:M59">
    <cfRule type="expression" dxfId="48" priority="10">
      <formula>$F$36="いいえ"</formula>
    </cfRule>
  </conditionalFormatting>
  <conditionalFormatting sqref="N51:O54">
    <cfRule type="expression" dxfId="47" priority="9">
      <formula>$F$36="いいえ"</formula>
    </cfRule>
  </conditionalFormatting>
  <conditionalFormatting sqref="B17:K17">
    <cfRule type="expression" dxfId="46" priority="7">
      <formula>$I$15="その他"</formula>
    </cfRule>
  </conditionalFormatting>
  <dataValidations count="7">
    <dataValidation type="decimal" allowBlank="1" showInputMessage="1" showErrorMessage="1" sqref="F29">
      <formula1>0</formula1>
      <formula2>9.99999999999999E+23</formula2>
    </dataValidation>
    <dataValidation type="whole" allowBlank="1" showInputMessage="1" showErrorMessage="1" sqref="D10:E10">
      <formula1>2000</formula1>
      <formula2>9999</formula2>
    </dataValidation>
    <dataValidation type="date" allowBlank="1" showInputMessage="1" showErrorMessage="1" sqref="N13:N14 I13:I14 L8">
      <formula1>1</formula1>
      <formula2>401404</formula2>
    </dataValidation>
    <dataValidation type="decimal" allowBlank="1" showInputMessage="1" showErrorMessage="1" sqref="H48 F31 N48 F48 L48">
      <formula1>-999999999999999000000</formula1>
      <formula2>999999999999999000000</formula2>
    </dataValidation>
    <dataValidation type="date" allowBlank="1" showInputMessage="1" showErrorMessage="1" sqref="H35 F35 L35">
      <formula1>1</formula1>
      <formula2>73051</formula2>
    </dataValidation>
    <dataValidation type="decimal" allowBlank="1" showInputMessage="1" showErrorMessage="1" sqref="H46 F44 H44 F46 L46 L44 N44:N47">
      <formula1>0</formula1>
      <formula2>999999999999999000000</formula2>
    </dataValidation>
    <dataValidation type="whole" allowBlank="1" showInputMessage="1" showErrorMessage="1" sqref="H56:H59 F51:F59 L51:L59 H54 N54 N56:N59">
      <formula1>0</formula1>
      <formula2>99</formula2>
    </dataValidation>
  </dataValidations>
  <printOptions horizontalCentered="1" verticalCentered="1"/>
  <pageMargins left="0.11811023622047245" right="0.11811023622047245" top="0.15748031496062992" bottom="0.15748031496062992" header="0" footer="0"/>
  <pageSetup paperSize="9" scale="74" orientation="landscape" r:id="rId1"/>
  <extLst>
    <ext xmlns:x14="http://schemas.microsoft.com/office/spreadsheetml/2009/9/main" uri="{78C0D931-6437-407d-A8EE-F0AAD7539E65}">
      <x14:conditionalFormattings>
        <x14:conditionalFormatting xmlns:xm="http://schemas.microsoft.com/office/excel/2006/main">
          <x14:cfRule type="expression" priority="1" id="{F93A7D6C-A937-4A63-A7BF-E47B5D0EF513}">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20" id="{5739785A-9029-45E6-B091-B846B5BCAE0B}">
            <xm:f>計算シート!$C$67=1</xm:f>
            <x14:dxf>
              <font>
                <color theme="0" tint="-4.9989318521683403E-2"/>
              </font>
              <fill>
                <patternFill>
                  <bgColor theme="0" tint="-4.9989318521683403E-2"/>
                </patternFill>
              </fill>
              <border>
                <left/>
                <right/>
                <top/>
                <bottom/>
              </border>
            </x14:dxf>
          </x14:cfRule>
          <xm:sqref>A22:D22 A23:B31 E22:G31</xm:sqref>
        </x14:conditionalFormatting>
        <x14:conditionalFormatting xmlns:xm="http://schemas.microsoft.com/office/excel/2006/main">
          <x14:cfRule type="expression" priority="19" id="{D57BC46C-F4E8-4163-AE3C-12B425E6122D}">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18" id="{70D2A2E9-635D-4996-877C-B20B895ABA14}">
            <xm:f>計算シート!C67=1</xm:f>
            <x14:dxf>
              <border>
                <bottom/>
                <vertical/>
                <horizontal/>
              </border>
            </x14:dxf>
          </x14:cfRule>
          <xm:sqref>I13:I14</xm:sqref>
        </x14:conditionalFormatting>
        <x14:conditionalFormatting xmlns:xm="http://schemas.microsoft.com/office/excel/2006/main">
          <x14:cfRule type="expression" priority="17" id="{14D21713-E15E-4A02-B0DB-78E8E6654C33}">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16" id="{5968249E-9A33-43E5-A48D-D7F299B448E0}">
            <xm:f>計算シート!$C$67=1</xm:f>
            <x14:dxf>
              <border>
                <right style="dotted">
                  <color auto="1"/>
                </right>
                <vertical/>
                <horizontal/>
              </border>
            </x14:dxf>
          </x14:cfRule>
          <xm:sqref>G22:G31</xm:sqref>
        </x14:conditionalFormatting>
        <x14:conditionalFormatting xmlns:xm="http://schemas.microsoft.com/office/excel/2006/main">
          <x14:cfRule type="expression" priority="15" id="{F9674204-EE13-464E-BBC3-2B0EEF31F62B}">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14" id="{BF44CD1D-1969-4FE1-AE93-5FCF4D70D0D9}">
            <xm:f>計算シート!$C$67=1</xm:f>
            <x14:dxf>
              <border>
                <left style="dotted">
                  <color auto="1"/>
                </left>
                <vertical/>
                <horizontal/>
              </border>
            </x14:dxf>
          </x14:cfRule>
          <xm:sqref>A22:A31</xm:sqref>
        </x14:conditionalFormatting>
        <x14:conditionalFormatting xmlns:xm="http://schemas.microsoft.com/office/excel/2006/main">
          <x14:cfRule type="expression" priority="13" id="{1D769EC6-5785-4462-9206-ED82F7EEAEA3}">
            <xm:f>計算シート!$C$67=1</xm:f>
            <x14:dxf>
              <font>
                <b/>
                <i val="0"/>
                <color auto="1"/>
              </font>
            </x14:dxf>
          </x14:cfRule>
          <xm:sqref>A22</xm:sqref>
        </x14:conditionalFormatting>
        <x14:conditionalFormatting xmlns:xm="http://schemas.microsoft.com/office/excel/2006/main">
          <x14:cfRule type="expression" priority="22" id="{9AC41BA2-6DC4-425D-827A-50F488BCE70F}">
            <xm:f>計算シート!J67=1</xm:f>
            <x14:dxf>
              <border>
                <bottom/>
                <vertical/>
                <horizontal/>
              </border>
            </x14:dxf>
          </x14:cfRule>
          <xm:sqref>I17:I18</xm:sqref>
        </x14:conditionalFormatting>
        <x14:conditionalFormatting xmlns:xm="http://schemas.microsoft.com/office/excel/2006/main">
          <x14:cfRule type="expression" priority="28" id="{0B27DCAB-37F1-4B0D-A2BB-2740B1E14400}">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29" id="{524DF34E-834F-4732-835D-922BD6D0BC14}">
            <xm:f>計算シート!E67=1</xm:f>
            <x14:dxf>
              <border>
                <bottom/>
                <vertical/>
                <horizontal/>
              </border>
            </x14:dxf>
          </x14:cfRule>
          <xm:sqref>N13:N14</xm:sqref>
        </x14:conditionalFormatting>
        <x14:conditionalFormatting xmlns:xm="http://schemas.microsoft.com/office/excel/2006/main">
          <x14:cfRule type="expression" priority="8" id="{1566225C-1C09-437F-99DD-EE91058CB03B}">
            <xm:f>計算シート!F67=1</xm:f>
            <x14:dxf>
              <border>
                <bottom/>
                <vertical/>
                <horizontal/>
              </border>
            </x14:dxf>
          </x14:cfRule>
          <xm:sqref>I15:I16</xm:sqref>
        </x14:conditionalFormatting>
        <x14:conditionalFormatting xmlns:xm="http://schemas.microsoft.com/office/excel/2006/main">
          <x14:cfRule type="expression" priority="30" id="{07964E89-625D-4E41-86F0-70533987D1BE}">
            <xm:f>計算シート!C67=1</xm:f>
            <x14:dxf>
              <border>
                <bottom/>
                <vertical/>
                <horizontal/>
              </border>
            </x14:dxf>
          </x14:cfRule>
          <xm:sqref>G15:G16</xm:sqref>
        </x14:conditionalFormatting>
        <x14:conditionalFormatting xmlns:xm="http://schemas.microsoft.com/office/excel/2006/main">
          <x14:cfRule type="expression" priority="31" id="{C29E8BDD-4702-40CA-ACB1-6B1B5A63CF28}">
            <xm:f>計算シート!G67=1</xm:f>
            <x14:dxf>
              <border>
                <bottom/>
                <vertical/>
                <horizontal/>
              </border>
            </x14:dxf>
          </x14:cfRule>
          <xm:sqref>G17:G18</xm:sqref>
        </x14:conditionalFormatting>
        <x14:conditionalFormatting xmlns:xm="http://schemas.microsoft.com/office/excel/2006/main">
          <x14:cfRule type="expression" priority="32" id="{0950B69D-53EE-401B-9621-D422311CCB96}">
            <xm:f>計算シート!C67=1</xm:f>
            <x14:dxf>
              <border>
                <bottom/>
                <vertical/>
                <horizontal/>
              </border>
            </x14:dxf>
          </x14:cfRule>
          <xm:sqref>D17:K17</xm:sqref>
        </x14:conditionalFormatting>
        <x14:conditionalFormatting xmlns:xm="http://schemas.microsoft.com/office/excel/2006/main">
          <x14:cfRule type="expression" priority="33" id="{550AABFD-FE51-403A-9E25-F659A07C3332}">
            <xm:f>計算シート!C70=1</xm:f>
            <x14:dxf>
              <border>
                <bottom/>
                <vertical/>
                <horizontal/>
              </border>
            </x14:dxf>
          </x14:cfRule>
          <xm:sqref>K19:L19</xm:sqref>
        </x14:conditionalFormatting>
        <x14:conditionalFormatting xmlns:xm="http://schemas.microsoft.com/office/excel/2006/main">
          <x14:cfRule type="expression" priority="34" id="{3AD5AC95-189C-4DA6-B526-A393EFD759C6}">
            <xm:f>計算シート!C69=1</xm:f>
            <x14:dxf>
              <border>
                <bottom/>
                <vertical/>
                <horizontal/>
              </border>
            </x14:dxf>
          </x14:cfRule>
          <xm:sqref>I17:I18</xm:sqref>
        </x14:conditionalFormatting>
        <x14:conditionalFormatting xmlns:xm="http://schemas.microsoft.com/office/excel/2006/main">
          <x14:cfRule type="expression" priority="35" id="{D6EE8BE7-C28C-4556-B4D0-1711221AED30}">
            <xm:f>計算シート!F68=1</xm:f>
            <x14:dxf>
              <border>
                <bottom/>
                <vertical/>
                <horizontal/>
              </border>
            </x14:dxf>
          </x14:cfRule>
          <xm:sqref>I17:I18</xm:sqref>
        </x14:conditionalFormatting>
        <x14:conditionalFormatting xmlns:xm="http://schemas.microsoft.com/office/excel/2006/main">
          <x14:cfRule type="expression" priority="36" id="{054D28EB-D994-47F8-BB84-4A744ADD6F12}">
            <xm:f>計算シート!C68=1</xm:f>
            <x14:dxf>
              <border>
                <bottom/>
                <vertical/>
                <horizontal/>
              </border>
            </x14:dxf>
          </x14:cfRule>
          <xm:sqref>G17:G18</xm:sqref>
        </x14:conditionalFormatting>
        <x14:conditionalFormatting xmlns:xm="http://schemas.microsoft.com/office/excel/2006/main">
          <x14:cfRule type="expression" priority="37" id="{E79BD7F4-0FAE-407B-AB5C-C00E1EF5C2D5}">
            <xm:f>計算シート!C68=1</xm:f>
            <x14:dxf>
              <border>
                <bottom/>
                <vertical/>
                <horizontal/>
              </border>
            </x14:dxf>
          </x14:cfRule>
          <xm:sqref>I15:I16</xm:sqref>
        </x14:conditionalFormatting>
        <x14:conditionalFormatting xmlns:xm="http://schemas.microsoft.com/office/excel/2006/main">
          <x14:cfRule type="expression" priority="6" id="{3800B299-3AFC-446F-98D2-8E6ED4292544}">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5" id="{12AA7AED-0D78-4163-BE1F-4D0EC871F7AD}">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4" id="{775D9CEA-B4CB-4F3D-8845-22FA65C71457}">
            <xm:f>計算シート!C67=1</xm:f>
            <x14:dxf>
              <border>
                <left style="hair">
                  <color auto="1"/>
                </left>
                <vertical/>
                <horizontal/>
              </border>
            </x14:dxf>
          </x14:cfRule>
          <xm:sqref>G15:H15</xm:sqref>
        </x14:conditionalFormatting>
        <x14:conditionalFormatting xmlns:xm="http://schemas.microsoft.com/office/excel/2006/main">
          <x14:cfRule type="expression" priority="3" id="{8CE80FD9-2880-47D1-B062-470F6ACF9EE8}">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2" id="{6DC2242B-64C2-418C-91FE-2CECB70148C1}">
            <xm:f>計算シート!C67=1</xm:f>
            <x14:dxf>
              <font>
                <color theme="0"/>
              </font>
              <border>
                <bottom style="hair">
                  <color auto="1"/>
                </bottom>
                <vertical/>
                <horizontal/>
              </border>
            </x14:dxf>
          </x14:cfRule>
          <xm:sqref>I13:L13</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14:formula1>
            <xm:f>計算シート!$F$24:$F$28</xm:f>
          </x14:formula1>
          <xm:sqref>I15:J15</xm:sqref>
        </x14:dataValidation>
        <x14:dataValidation type="list" allowBlank="1" showInputMessage="1" showErrorMessage="1">
          <x14:formula1>
            <xm:f>計算シート!$F$24:$F$29</xm:f>
          </x14:formula1>
          <xm:sqref>I18:J18 I16:J16</xm:sqref>
        </x14:dataValidation>
        <x14:dataValidation type="list" allowBlank="1" showInputMessage="1" showErrorMessage="1">
          <x14:formula1>
            <xm:f>計算シート!$F$24:$F$25</xm:f>
          </x14:formula1>
          <xm:sqref>I17:J17</xm:sqref>
        </x14:dataValidation>
        <x14:dataValidation type="list" allowBlank="1" showInputMessage="1" showErrorMessage="1">
          <x14:formula1>
            <xm:f>計算シート!$F$11:$F$13</xm:f>
          </x14:formula1>
          <xm:sqref>F24</xm:sqref>
        </x14:dataValidation>
        <x14:dataValidation type="list" allowBlank="1" showInputMessage="1" showErrorMessage="1">
          <x14:formula1>
            <xm:f>計算シート!$F$8:$F$10</xm:f>
          </x14:formula1>
          <xm:sqref>F40</xm:sqref>
        </x14:dataValidation>
        <x14:dataValidation type="list" allowBlank="1" showInputMessage="1" showErrorMessage="1">
          <x14:formula1>
            <xm:f>計算シート!$F$3:$F$4</xm:f>
          </x14:formula1>
          <xm:sqref>F26:F27 F36 F38</xm:sqref>
        </x14:dataValidation>
        <x14:dataValidation type="list" allowBlank="1" showInputMessage="1" showErrorMessage="1">
          <x14:formula1>
            <xm:f>計算シート!$F$15:$F$22</xm:f>
          </x14:formula1>
          <xm:sqref>L10</xm:sqref>
        </x14:dataValidation>
        <x14:dataValidation type="list" allowBlank="1" showInputMessage="1" showErrorMessage="1">
          <x14:formula1>
            <xm:f>前年レート!$N$12:$N$74</xm:f>
          </x14:formula1>
          <xm:sqref>L47 F43 F47 F30 L43 F28 L45 F45</xm:sqref>
        </x14:dataValidation>
        <x14:dataValidation type="list" allowBlank="1" showInputMessage="1" showErrorMessage="1">
          <x14:formula1>
            <xm:f>計算シート!$F$5:$F$7</xm:f>
          </x14:formula1>
          <xm:sqref>F39 F25 L39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view="pageBreakPreview" zoomScaleNormal="100" zoomScaleSheetLayoutView="100" workbookViewId="0">
      <selection activeCell="Z46" sqref="Z46"/>
    </sheetView>
  </sheetViews>
  <sheetFormatPr defaultRowHeight="13.5"/>
  <cols>
    <col min="1" max="1" width="3.125" style="218" customWidth="1"/>
    <col min="2" max="2" width="34.625" style="218" customWidth="1"/>
    <col min="3" max="3" width="0.625" style="218" customWidth="1"/>
    <col min="4" max="4" width="16.625" style="218" customWidth="1"/>
    <col min="5" max="5" width="4.75" style="218" bestFit="1" customWidth="1"/>
    <col min="6" max="6" width="4.125" style="218" customWidth="1"/>
    <col min="7" max="7" width="2.5" style="218" customWidth="1"/>
    <col min="8" max="8" width="16.625" style="218" customWidth="1"/>
    <col min="9" max="9" width="4.75" style="218" bestFit="1" customWidth="1"/>
    <col min="10" max="10" width="0.625" style="218" customWidth="1"/>
    <col min="11" max="11" width="4.875" style="218" customWidth="1"/>
    <col min="12" max="21" width="9" style="218"/>
    <col min="22" max="22" width="4.25" style="218" customWidth="1"/>
    <col min="23" max="16384" width="9" style="218"/>
  </cols>
  <sheetData>
    <row r="1" spans="1:22">
      <c r="A1" s="603" t="s">
        <v>497</v>
      </c>
      <c r="B1" s="603"/>
      <c r="C1" s="603"/>
      <c r="D1" s="603"/>
      <c r="E1" s="603"/>
      <c r="F1" s="603"/>
      <c r="G1" s="603"/>
      <c r="H1" s="603"/>
      <c r="I1" s="603"/>
      <c r="K1" s="219"/>
      <c r="L1" s="603" t="s">
        <v>363</v>
      </c>
      <c r="M1" s="603"/>
      <c r="N1" s="603"/>
      <c r="O1" s="603"/>
      <c r="P1" s="603"/>
      <c r="Q1" s="603"/>
      <c r="R1" s="603"/>
      <c r="S1" s="603"/>
      <c r="T1" s="603"/>
      <c r="U1" s="603"/>
      <c r="V1" s="603"/>
    </row>
    <row r="2" spans="1:22" ht="6" customHeight="1">
      <c r="A2" s="220"/>
      <c r="B2" s="220"/>
      <c r="C2" s="220"/>
      <c r="D2" s="220"/>
      <c r="E2" s="220"/>
      <c r="F2" s="220"/>
      <c r="G2" s="220"/>
      <c r="H2" s="220"/>
      <c r="I2" s="220"/>
      <c r="K2" s="219"/>
    </row>
    <row r="3" spans="1:22">
      <c r="A3" s="221" t="s">
        <v>297</v>
      </c>
      <c r="C3" s="220"/>
      <c r="D3" s="220"/>
      <c r="E3" s="220"/>
      <c r="F3" s="220"/>
      <c r="G3" s="220"/>
      <c r="H3" s="220"/>
      <c r="I3" s="220"/>
      <c r="K3" s="219"/>
      <c r="L3" s="371" t="s">
        <v>608</v>
      </c>
      <c r="M3" s="186"/>
      <c r="N3" s="186"/>
      <c r="O3" s="186"/>
      <c r="P3" s="186"/>
      <c r="Q3" s="186"/>
      <c r="R3" s="186"/>
      <c r="S3" s="186"/>
      <c r="T3" s="186"/>
      <c r="U3" s="186"/>
      <c r="V3" s="186"/>
    </row>
    <row r="4" spans="1:22" ht="9.75" customHeight="1">
      <c r="A4" s="220"/>
      <c r="B4" s="221"/>
      <c r="C4" s="220"/>
      <c r="D4" s="220"/>
      <c r="E4" s="220"/>
      <c r="F4" s="220"/>
      <c r="G4" s="220"/>
      <c r="H4" s="220"/>
      <c r="I4" s="220"/>
      <c r="K4" s="219"/>
      <c r="L4" s="598" t="s">
        <v>607</v>
      </c>
      <c r="M4" s="599"/>
      <c r="N4" s="599"/>
      <c r="O4" s="599"/>
      <c r="P4" s="599"/>
      <c r="Q4" s="599"/>
      <c r="R4" s="599"/>
      <c r="S4" s="599"/>
      <c r="T4" s="599"/>
      <c r="U4" s="599"/>
      <c r="V4" s="599"/>
    </row>
    <row r="5" spans="1:22" ht="13.5" customHeight="1">
      <c r="A5" s="220"/>
      <c r="B5" s="605" t="s">
        <v>420</v>
      </c>
      <c r="C5" s="605"/>
      <c r="D5" s="605"/>
      <c r="E5" s="605"/>
      <c r="F5" s="605"/>
      <c r="G5" s="605"/>
      <c r="H5" s="605"/>
      <c r="I5" s="605"/>
      <c r="K5" s="219"/>
      <c r="L5" s="598"/>
      <c r="M5" s="599"/>
      <c r="N5" s="599"/>
      <c r="O5" s="599"/>
      <c r="P5" s="599"/>
      <c r="Q5" s="599"/>
      <c r="R5" s="599"/>
      <c r="S5" s="599"/>
      <c r="T5" s="599"/>
      <c r="U5" s="599"/>
      <c r="V5" s="599"/>
    </row>
    <row r="6" spans="1:22">
      <c r="A6" s="220"/>
      <c r="B6" s="605"/>
      <c r="C6" s="605"/>
      <c r="D6" s="605"/>
      <c r="E6" s="605"/>
      <c r="F6" s="605"/>
      <c r="G6" s="605"/>
      <c r="H6" s="605"/>
      <c r="I6" s="605"/>
      <c r="K6" s="219"/>
      <c r="L6" s="598"/>
      <c r="M6" s="599"/>
      <c r="N6" s="599"/>
      <c r="O6" s="599"/>
      <c r="P6" s="599"/>
      <c r="Q6" s="599"/>
      <c r="R6" s="599"/>
      <c r="S6" s="599"/>
      <c r="T6" s="599"/>
      <c r="U6" s="599"/>
      <c r="V6" s="599"/>
    </row>
    <row r="7" spans="1:22" ht="13.5" customHeight="1">
      <c r="A7" s="220"/>
      <c r="B7" s="222"/>
      <c r="C7" s="222"/>
      <c r="D7" s="222"/>
      <c r="E7" s="222"/>
      <c r="F7" s="222"/>
      <c r="G7" s="222"/>
      <c r="H7" s="222"/>
      <c r="I7" s="222"/>
      <c r="K7" s="219"/>
      <c r="L7" s="598" t="s">
        <v>395</v>
      </c>
      <c r="M7" s="599"/>
      <c r="N7" s="599"/>
      <c r="O7" s="599"/>
      <c r="P7" s="599"/>
      <c r="Q7" s="599"/>
      <c r="R7" s="599"/>
      <c r="S7" s="599"/>
      <c r="T7" s="599"/>
      <c r="U7" s="599"/>
      <c r="V7" s="599"/>
    </row>
    <row r="8" spans="1:22" ht="14.25" thickBot="1">
      <c r="A8" s="220"/>
      <c r="B8" s="222"/>
      <c r="C8" s="222"/>
      <c r="D8" s="222"/>
      <c r="E8" s="604" t="s">
        <v>386</v>
      </c>
      <c r="F8" s="604"/>
      <c r="G8" s="604"/>
      <c r="H8" s="223">
        <v>44044</v>
      </c>
      <c r="I8" s="222"/>
      <c r="K8" s="219"/>
      <c r="L8" s="598"/>
      <c r="M8" s="599"/>
      <c r="N8" s="599"/>
      <c r="O8" s="599"/>
      <c r="P8" s="599"/>
      <c r="Q8" s="599"/>
      <c r="R8" s="599"/>
      <c r="S8" s="599"/>
      <c r="T8" s="599"/>
      <c r="U8" s="599"/>
      <c r="V8" s="599"/>
    </row>
    <row r="9" spans="1:22" ht="13.5" customHeight="1">
      <c r="A9" s="220"/>
      <c r="B9" s="220"/>
      <c r="C9" s="220"/>
      <c r="D9" s="220"/>
      <c r="E9" s="208"/>
      <c r="F9" s="208"/>
      <c r="G9" s="208"/>
      <c r="H9" s="224" t="s">
        <v>385</v>
      </c>
      <c r="I9" s="225"/>
      <c r="K9" s="219"/>
      <c r="L9" s="598" t="s">
        <v>419</v>
      </c>
      <c r="M9" s="599"/>
      <c r="N9" s="599"/>
      <c r="O9" s="599"/>
      <c r="P9" s="599"/>
      <c r="Q9" s="599"/>
      <c r="R9" s="599"/>
      <c r="S9" s="599"/>
      <c r="T9" s="599"/>
      <c r="U9" s="599"/>
      <c r="V9" s="599"/>
    </row>
    <row r="10" spans="1:22" ht="13.5" customHeight="1" thickBot="1">
      <c r="A10" s="220"/>
      <c r="B10" s="226" t="s">
        <v>404</v>
      </c>
      <c r="C10" s="227"/>
      <c r="D10" s="228">
        <v>2020</v>
      </c>
      <c r="E10" s="607" t="s">
        <v>401</v>
      </c>
      <c r="F10" s="607"/>
      <c r="G10" s="607"/>
      <c r="H10" s="229" t="s">
        <v>403</v>
      </c>
      <c r="I10" s="225"/>
      <c r="K10" s="219"/>
      <c r="L10" s="598"/>
      <c r="M10" s="599"/>
      <c r="N10" s="599"/>
      <c r="O10" s="599"/>
      <c r="P10" s="599"/>
      <c r="Q10" s="599"/>
      <c r="R10" s="599"/>
      <c r="S10" s="599"/>
      <c r="T10" s="599"/>
      <c r="U10" s="599"/>
      <c r="V10" s="599"/>
    </row>
    <row r="11" spans="1:22" ht="14.25" customHeight="1" thickBot="1">
      <c r="A11" s="220"/>
      <c r="B11" s="230" t="s">
        <v>421</v>
      </c>
      <c r="C11" s="231"/>
      <c r="D11" s="215"/>
      <c r="E11" s="232"/>
      <c r="F11" s="232"/>
      <c r="G11" s="232"/>
      <c r="H11" s="216"/>
      <c r="I11" s="225"/>
      <c r="K11" s="219"/>
      <c r="L11" s="598"/>
      <c r="M11" s="599"/>
      <c r="N11" s="599"/>
      <c r="O11" s="599"/>
      <c r="P11" s="599"/>
      <c r="Q11" s="599"/>
      <c r="R11" s="599"/>
      <c r="S11" s="599"/>
      <c r="T11" s="599"/>
      <c r="U11" s="599"/>
      <c r="V11" s="599"/>
    </row>
    <row r="12" spans="1:22" ht="14.25" customHeight="1" thickBot="1">
      <c r="B12" s="230" t="s">
        <v>422</v>
      </c>
      <c r="C12" s="231"/>
      <c r="D12" s="231" t="s">
        <v>370</v>
      </c>
      <c r="E12" s="606" t="s">
        <v>387</v>
      </c>
      <c r="F12" s="606"/>
      <c r="G12" s="606"/>
      <c r="H12" s="223">
        <v>37072</v>
      </c>
      <c r="K12" s="219"/>
      <c r="L12" s="598" t="s">
        <v>416</v>
      </c>
      <c r="M12" s="599"/>
      <c r="N12" s="599"/>
      <c r="O12" s="599"/>
      <c r="P12" s="599"/>
      <c r="Q12" s="599"/>
      <c r="R12" s="599"/>
      <c r="S12" s="599"/>
      <c r="T12" s="599"/>
      <c r="U12" s="599"/>
      <c r="V12" s="599"/>
    </row>
    <row r="13" spans="1:22" ht="14.25" customHeight="1" thickBot="1">
      <c r="B13" s="233" t="s">
        <v>276</v>
      </c>
      <c r="C13" s="188"/>
      <c r="D13" s="188" t="s">
        <v>371</v>
      </c>
      <c r="E13" s="208"/>
      <c r="F13" s="208"/>
      <c r="G13" s="208"/>
      <c r="H13" s="224" t="s">
        <v>385</v>
      </c>
      <c r="K13" s="219"/>
      <c r="L13" s="598"/>
      <c r="M13" s="599"/>
      <c r="N13" s="599"/>
      <c r="O13" s="599"/>
      <c r="P13" s="599"/>
      <c r="Q13" s="599"/>
      <c r="R13" s="599"/>
      <c r="S13" s="599"/>
      <c r="T13" s="599"/>
      <c r="U13" s="599"/>
      <c r="V13" s="599"/>
    </row>
    <row r="14" spans="1:22" ht="14.25" customHeight="1" thickBot="1">
      <c r="B14" s="233" t="s">
        <v>277</v>
      </c>
      <c r="C14" s="188"/>
      <c r="D14" s="188" t="s">
        <v>372</v>
      </c>
      <c r="E14" s="198"/>
      <c r="F14" s="198"/>
      <c r="G14" s="198"/>
      <c r="H14" s="198"/>
      <c r="K14" s="219"/>
      <c r="L14" s="598"/>
      <c r="M14" s="599"/>
      <c r="N14" s="599"/>
      <c r="O14" s="599"/>
      <c r="P14" s="599"/>
      <c r="Q14" s="599"/>
      <c r="R14" s="599"/>
      <c r="S14" s="599"/>
      <c r="T14" s="599"/>
      <c r="U14" s="599"/>
      <c r="V14" s="599"/>
    </row>
    <row r="15" spans="1:22">
      <c r="B15" s="234" t="str">
        <f>"※ 以下、収入（所得）は【"&amp;IF(計算シート!C49=1,計算シート!C47,計算シート!C48)&amp;"年1月1日～12月31日】のものを入力してください。"</f>
        <v>※ 以下、収入（所得）は【2024年1月1日～12月31日】のものを入力してください。</v>
      </c>
      <c r="C15" s="208"/>
      <c r="D15" s="208"/>
      <c r="E15" s="198"/>
      <c r="F15" s="198"/>
      <c r="G15" s="198"/>
      <c r="H15" s="198"/>
      <c r="K15" s="219"/>
      <c r="L15" s="598" t="s">
        <v>364</v>
      </c>
      <c r="M15" s="599"/>
      <c r="N15" s="599"/>
      <c r="O15" s="599"/>
      <c r="P15" s="599"/>
      <c r="Q15" s="599"/>
      <c r="R15" s="599"/>
      <c r="S15" s="599"/>
      <c r="T15" s="599"/>
      <c r="U15" s="599"/>
      <c r="V15" s="599"/>
    </row>
    <row r="16" spans="1:22">
      <c r="B16" s="234" t="str">
        <f>"    扶養等の情報は【"&amp;IF(計算シート!C49=1,計算シート!C47,計算シート!C48)&amp;"年12月31日】現在のものを入力してください。"</f>
        <v xml:space="preserve">    扶養等の情報は【2024年12月31日】現在のものを入力してください。</v>
      </c>
      <c r="C16" s="208"/>
      <c r="D16" s="208"/>
      <c r="E16" s="198"/>
      <c r="F16" s="198"/>
      <c r="G16" s="198"/>
      <c r="H16" s="198"/>
      <c r="K16" s="219"/>
      <c r="L16" s="598"/>
      <c r="M16" s="599"/>
      <c r="N16" s="599"/>
      <c r="O16" s="599"/>
      <c r="P16" s="599"/>
      <c r="Q16" s="599"/>
      <c r="R16" s="599"/>
      <c r="S16" s="599"/>
      <c r="T16" s="599"/>
      <c r="U16" s="599"/>
      <c r="V16" s="599"/>
    </row>
    <row r="17" spans="1:22" ht="7.5" customHeight="1" thickBot="1">
      <c r="A17" s="235"/>
      <c r="B17" s="235"/>
      <c r="C17" s="235"/>
      <c r="D17" s="235"/>
      <c r="E17" s="235"/>
      <c r="K17" s="219"/>
      <c r="L17" s="598"/>
      <c r="M17" s="599"/>
      <c r="N17" s="599"/>
      <c r="O17" s="599"/>
      <c r="P17" s="599"/>
      <c r="Q17" s="599"/>
      <c r="R17" s="599"/>
      <c r="S17" s="599"/>
      <c r="T17" s="599"/>
      <c r="U17" s="599"/>
      <c r="V17" s="599"/>
    </row>
    <row r="18" spans="1:22" s="239" customFormat="1" ht="15.6" customHeight="1" thickTop="1">
      <c r="A18" s="236" t="s">
        <v>415</v>
      </c>
      <c r="B18" s="237"/>
      <c r="C18" s="237"/>
      <c r="D18" s="237"/>
      <c r="E18" s="238"/>
      <c r="G18" s="240" t="s">
        <v>373</v>
      </c>
      <c r="H18" s="241"/>
      <c r="I18" s="238"/>
      <c r="K18" s="242"/>
      <c r="L18" s="598"/>
      <c r="M18" s="599"/>
      <c r="N18" s="599"/>
      <c r="O18" s="599"/>
      <c r="P18" s="599"/>
      <c r="Q18" s="599"/>
      <c r="R18" s="599"/>
      <c r="S18" s="599"/>
      <c r="T18" s="599"/>
      <c r="U18" s="599"/>
      <c r="V18" s="599"/>
    </row>
    <row r="19" spans="1:22" s="239" customFormat="1" ht="12.95" customHeight="1" thickBot="1">
      <c r="A19" s="243" t="s">
        <v>316</v>
      </c>
      <c r="B19" s="244" t="s">
        <v>407</v>
      </c>
      <c r="C19" s="367"/>
      <c r="D19" s="368">
        <f>H12</f>
        <v>37072</v>
      </c>
      <c r="E19" s="249"/>
      <c r="G19" s="247" t="s">
        <v>374</v>
      </c>
      <c r="H19" s="248"/>
      <c r="I19" s="249"/>
      <c r="K19" s="242"/>
      <c r="L19" s="370" t="s">
        <v>609</v>
      </c>
      <c r="M19" s="203"/>
      <c r="N19" s="203"/>
      <c r="O19" s="203"/>
      <c r="P19" s="203"/>
      <c r="Q19" s="203"/>
      <c r="R19" s="203"/>
      <c r="S19" s="203"/>
      <c r="T19" s="203"/>
      <c r="U19" s="203"/>
      <c r="V19" s="203"/>
    </row>
    <row r="20" spans="1:22" s="239" customFormat="1" ht="12.95" customHeight="1" thickBot="1">
      <c r="A20" s="250" t="s">
        <v>317</v>
      </c>
      <c r="B20" s="251" t="s">
        <v>293</v>
      </c>
      <c r="D20" s="252" t="s">
        <v>38</v>
      </c>
      <c r="E20" s="249"/>
      <c r="G20" s="247" t="s">
        <v>375</v>
      </c>
      <c r="H20" s="248"/>
      <c r="I20" s="249"/>
      <c r="K20" s="242"/>
      <c r="L20" s="265" t="s">
        <v>610</v>
      </c>
      <c r="M20" s="203"/>
      <c r="N20" s="203"/>
      <c r="O20" s="203"/>
      <c r="P20" s="203"/>
      <c r="Q20" s="203"/>
      <c r="R20" s="203"/>
      <c r="S20" s="203"/>
      <c r="T20" s="203"/>
      <c r="U20" s="203"/>
      <c r="V20" s="203"/>
    </row>
    <row r="21" spans="1:22" s="239" customFormat="1" ht="12.95" customHeight="1" thickBot="1">
      <c r="A21" s="250" t="s">
        <v>318</v>
      </c>
      <c r="B21" s="239" t="s">
        <v>294</v>
      </c>
      <c r="C21" s="253"/>
      <c r="D21" s="254" t="s">
        <v>266</v>
      </c>
      <c r="E21" s="249"/>
      <c r="G21" s="247" t="s">
        <v>376</v>
      </c>
      <c r="H21" s="248"/>
      <c r="I21" s="249"/>
      <c r="K21" s="242"/>
      <c r="L21" s="370" t="s">
        <v>611</v>
      </c>
      <c r="M21" s="203"/>
      <c r="N21" s="203"/>
      <c r="O21" s="203"/>
      <c r="P21" s="203"/>
      <c r="Q21" s="203"/>
      <c r="R21" s="203"/>
      <c r="S21" s="203"/>
      <c r="T21" s="203"/>
      <c r="U21" s="203"/>
      <c r="V21" s="203"/>
    </row>
    <row r="22" spans="1:22" s="239" customFormat="1" ht="12.95" customHeight="1" thickBot="1">
      <c r="A22" s="250" t="s">
        <v>319</v>
      </c>
      <c r="B22" s="255" t="s">
        <v>295</v>
      </c>
      <c r="C22" s="253"/>
      <c r="D22" s="256" t="s">
        <v>42</v>
      </c>
      <c r="E22" s="249"/>
      <c r="G22" s="257">
        <v>1</v>
      </c>
      <c r="H22" s="258" t="s">
        <v>377</v>
      </c>
      <c r="I22" s="259" t="s">
        <v>378</v>
      </c>
      <c r="K22" s="242"/>
      <c r="L22" s="370" t="s">
        <v>616</v>
      </c>
      <c r="M22" s="203"/>
      <c r="N22" s="203"/>
      <c r="O22" s="203"/>
      <c r="P22" s="203"/>
      <c r="Q22" s="203"/>
      <c r="R22" s="203"/>
      <c r="S22" s="203"/>
      <c r="T22" s="203"/>
      <c r="U22" s="203"/>
      <c r="V22" s="203"/>
    </row>
    <row r="23" spans="1:22" s="239" customFormat="1" ht="12.95" customHeight="1" thickBot="1">
      <c r="A23" s="250" t="s">
        <v>320</v>
      </c>
      <c r="B23" s="260" t="s">
        <v>423</v>
      </c>
      <c r="C23" s="261"/>
      <c r="D23" s="252" t="s">
        <v>40</v>
      </c>
      <c r="E23" s="249"/>
      <c r="G23" s="257">
        <v>2</v>
      </c>
      <c r="H23" s="262" t="s">
        <v>384</v>
      </c>
      <c r="I23" s="259" t="s">
        <v>500</v>
      </c>
      <c r="K23" s="242"/>
      <c r="L23" s="370" t="s">
        <v>612</v>
      </c>
      <c r="M23" s="203"/>
      <c r="N23" s="203"/>
      <c r="O23" s="203"/>
      <c r="P23" s="203"/>
      <c r="Q23" s="203"/>
      <c r="R23" s="203"/>
      <c r="S23" s="203"/>
      <c r="T23" s="203"/>
      <c r="U23" s="203"/>
      <c r="V23" s="203"/>
    </row>
    <row r="24" spans="1:22" s="239" customFormat="1" ht="12.95" customHeight="1" thickBot="1">
      <c r="A24" s="250" t="s">
        <v>321</v>
      </c>
      <c r="B24" s="263" t="s">
        <v>280</v>
      </c>
      <c r="C24" s="261"/>
      <c r="D24" s="256" t="s">
        <v>49</v>
      </c>
      <c r="E24" s="249"/>
      <c r="G24" s="257">
        <v>3</v>
      </c>
      <c r="H24" s="258" t="s">
        <v>383</v>
      </c>
      <c r="I24" s="259" t="s">
        <v>500</v>
      </c>
      <c r="K24" s="242"/>
      <c r="L24" s="598" t="s">
        <v>617</v>
      </c>
      <c r="M24" s="599"/>
      <c r="N24" s="599"/>
      <c r="O24" s="599"/>
      <c r="P24" s="599"/>
      <c r="Q24" s="599"/>
      <c r="R24" s="599"/>
      <c r="S24" s="599"/>
      <c r="T24" s="599"/>
      <c r="U24" s="599"/>
      <c r="V24" s="599"/>
    </row>
    <row r="25" spans="1:22" s="239" customFormat="1" ht="12.95" customHeight="1" thickBot="1">
      <c r="A25" s="250" t="s">
        <v>322</v>
      </c>
      <c r="B25" s="239" t="s">
        <v>281</v>
      </c>
      <c r="D25" s="264">
        <v>0</v>
      </c>
      <c r="E25" s="246" t="s">
        <v>501</v>
      </c>
      <c r="G25" s="257">
        <v>4</v>
      </c>
      <c r="H25" s="258" t="s">
        <v>382</v>
      </c>
      <c r="I25" s="259" t="s">
        <v>502</v>
      </c>
      <c r="K25" s="242"/>
      <c r="L25" s="598"/>
      <c r="M25" s="599"/>
      <c r="N25" s="599"/>
      <c r="O25" s="599"/>
      <c r="P25" s="599"/>
      <c r="Q25" s="599"/>
      <c r="R25" s="599"/>
      <c r="S25" s="599"/>
      <c r="T25" s="599"/>
      <c r="U25" s="599"/>
      <c r="V25" s="599"/>
    </row>
    <row r="26" spans="1:22" s="239" customFormat="1" ht="12.95" customHeight="1" thickBot="1">
      <c r="A26" s="250" t="s">
        <v>323</v>
      </c>
      <c r="B26" s="266" t="s">
        <v>305</v>
      </c>
      <c r="C26" s="261"/>
      <c r="D26" s="256" t="s">
        <v>49</v>
      </c>
      <c r="E26" s="249"/>
      <c r="G26" s="257">
        <v>5</v>
      </c>
      <c r="H26" s="258" t="s">
        <v>381</v>
      </c>
      <c r="I26" s="259" t="s">
        <v>500</v>
      </c>
      <c r="K26" s="242"/>
      <c r="L26" s="598"/>
      <c r="M26" s="599"/>
      <c r="N26" s="599"/>
      <c r="O26" s="599"/>
      <c r="P26" s="599"/>
      <c r="Q26" s="599"/>
      <c r="R26" s="599"/>
      <c r="S26" s="599"/>
      <c r="T26" s="599"/>
      <c r="U26" s="599"/>
      <c r="V26" s="599"/>
    </row>
    <row r="27" spans="1:22" s="239" customFormat="1" ht="12.95" customHeight="1" thickBot="1">
      <c r="A27" s="267" t="s">
        <v>324</v>
      </c>
      <c r="B27" s="268" t="s">
        <v>306</v>
      </c>
      <c r="C27" s="269"/>
      <c r="D27" s="264">
        <v>0</v>
      </c>
      <c r="E27" s="270" t="s">
        <v>501</v>
      </c>
      <c r="G27" s="271"/>
      <c r="H27" s="272"/>
      <c r="I27" s="273"/>
      <c r="K27" s="242"/>
      <c r="L27" s="598"/>
      <c r="M27" s="599"/>
      <c r="N27" s="599"/>
      <c r="O27" s="599"/>
      <c r="P27" s="599"/>
      <c r="Q27" s="599"/>
      <c r="R27" s="599"/>
      <c r="S27" s="599"/>
      <c r="T27" s="599"/>
      <c r="U27" s="599"/>
      <c r="V27" s="599"/>
    </row>
    <row r="28" spans="1:22" s="239" customFormat="1" ht="3" customHeight="1" thickTop="1">
      <c r="K28" s="242"/>
      <c r="L28" s="274"/>
      <c r="M28" s="186"/>
      <c r="N28" s="186"/>
      <c r="O28" s="186"/>
      <c r="P28" s="186"/>
      <c r="Q28" s="186"/>
      <c r="R28" s="186"/>
      <c r="S28" s="186"/>
      <c r="T28" s="186"/>
      <c r="U28" s="186"/>
      <c r="V28" s="186"/>
    </row>
    <row r="29" spans="1:22" s="239" customFormat="1" ht="14.1" customHeight="1" thickBot="1">
      <c r="A29" s="275"/>
      <c r="B29" s="275"/>
      <c r="C29" s="276"/>
      <c r="D29" s="277" t="s">
        <v>38</v>
      </c>
      <c r="E29" s="278"/>
      <c r="F29" s="275"/>
      <c r="G29" s="276"/>
      <c r="H29" s="279" t="s">
        <v>503</v>
      </c>
      <c r="I29" s="280"/>
      <c r="J29" s="281"/>
      <c r="K29" s="242"/>
      <c r="L29" s="274"/>
      <c r="M29" s="274"/>
      <c r="N29" s="186"/>
      <c r="O29" s="186"/>
      <c r="P29" s="186"/>
      <c r="Q29" s="186"/>
      <c r="R29" s="186"/>
      <c r="S29" s="186"/>
      <c r="T29" s="186"/>
      <c r="U29" s="186"/>
      <c r="V29" s="186"/>
    </row>
    <row r="30" spans="1:22" s="239" customFormat="1" ht="15.6" customHeight="1" thickTop="1" thickBot="1">
      <c r="A30" s="240" t="s">
        <v>282</v>
      </c>
      <c r="B30" s="248"/>
      <c r="C30" s="282"/>
      <c r="D30" s="248"/>
      <c r="E30" s="283"/>
      <c r="F30" s="248"/>
      <c r="G30" s="282"/>
      <c r="H30" s="284" t="s">
        <v>502</v>
      </c>
      <c r="I30" s="238"/>
      <c r="J30" s="285"/>
      <c r="K30" s="242"/>
      <c r="M30" s="274"/>
      <c r="N30" s="186"/>
      <c r="O30" s="186"/>
      <c r="P30" s="186"/>
      <c r="Q30" s="186"/>
      <c r="R30" s="186"/>
      <c r="S30" s="186"/>
      <c r="T30" s="186"/>
      <c r="U30" s="186"/>
      <c r="V30" s="186"/>
    </row>
    <row r="31" spans="1:22" s="239" customFormat="1" ht="12.95" customHeight="1" thickBot="1">
      <c r="A31" s="286" t="s">
        <v>325</v>
      </c>
      <c r="B31" s="244" t="s">
        <v>406</v>
      </c>
      <c r="C31" s="287"/>
      <c r="D31" s="245">
        <v>22037</v>
      </c>
      <c r="E31" s="285"/>
      <c r="F31" s="288" t="s">
        <v>331</v>
      </c>
      <c r="G31" s="282"/>
      <c r="H31" s="245">
        <v>22037</v>
      </c>
      <c r="I31" s="246"/>
      <c r="J31" s="285"/>
      <c r="K31" s="242"/>
      <c r="L31" s="274"/>
      <c r="M31" s="274"/>
      <c r="N31" s="186"/>
      <c r="O31" s="186"/>
      <c r="P31" s="186"/>
      <c r="Q31" s="186"/>
      <c r="R31" s="186"/>
      <c r="S31" s="186"/>
      <c r="T31" s="186"/>
      <c r="U31" s="186"/>
      <c r="V31" s="186"/>
    </row>
    <row r="32" spans="1:22" s="239" customFormat="1" ht="12.95" customHeight="1" thickBot="1">
      <c r="A32" s="289" t="s">
        <v>326</v>
      </c>
      <c r="B32" s="263" t="s">
        <v>309</v>
      </c>
      <c r="C32" s="287"/>
      <c r="D32" s="252" t="s">
        <v>40</v>
      </c>
      <c r="E32" s="283"/>
      <c r="F32" s="290"/>
      <c r="G32" s="282"/>
      <c r="H32" s="291"/>
      <c r="I32" s="249"/>
      <c r="J32" s="285"/>
      <c r="K32" s="242"/>
      <c r="L32" s="598" t="s">
        <v>417</v>
      </c>
      <c r="M32" s="600"/>
      <c r="N32" s="600"/>
      <c r="O32" s="600"/>
      <c r="P32" s="600"/>
      <c r="Q32" s="600"/>
      <c r="R32" s="600"/>
      <c r="S32" s="600"/>
      <c r="T32" s="600"/>
      <c r="U32" s="600"/>
      <c r="V32" s="600"/>
    </row>
    <row r="33" spans="1:22" s="239" customFormat="1" ht="12.95" customHeight="1" thickBot="1">
      <c r="A33" s="289" t="s">
        <v>327</v>
      </c>
      <c r="B33" s="263" t="s">
        <v>424</v>
      </c>
      <c r="C33" s="287"/>
      <c r="D33" s="252" t="s">
        <v>40</v>
      </c>
      <c r="E33" s="283"/>
      <c r="F33" s="290"/>
      <c r="G33" s="282"/>
      <c r="H33" s="291"/>
      <c r="I33" s="249"/>
      <c r="J33" s="285"/>
      <c r="K33" s="242"/>
      <c r="L33" s="598"/>
      <c r="M33" s="600"/>
      <c r="N33" s="600"/>
      <c r="O33" s="600"/>
      <c r="P33" s="600"/>
      <c r="Q33" s="600"/>
      <c r="R33" s="600"/>
      <c r="S33" s="600"/>
      <c r="T33" s="600"/>
      <c r="U33" s="600"/>
      <c r="V33" s="600"/>
    </row>
    <row r="34" spans="1:22" s="239" customFormat="1" ht="12.95" customHeight="1" thickBot="1">
      <c r="A34" s="289" t="s">
        <v>328</v>
      </c>
      <c r="B34" s="292" t="s">
        <v>312</v>
      </c>
      <c r="C34" s="293"/>
      <c r="D34" s="252" t="s">
        <v>40</v>
      </c>
      <c r="E34" s="283"/>
      <c r="F34" s="290"/>
      <c r="G34" s="282"/>
      <c r="H34" s="248"/>
      <c r="I34" s="249"/>
      <c r="J34" s="285"/>
      <c r="K34" s="242"/>
      <c r="L34" s="598"/>
      <c r="M34" s="600"/>
      <c r="N34" s="600"/>
      <c r="O34" s="600"/>
      <c r="P34" s="600"/>
      <c r="Q34" s="600"/>
      <c r="R34" s="600"/>
      <c r="S34" s="600"/>
      <c r="T34" s="600"/>
      <c r="U34" s="600"/>
      <c r="V34" s="600"/>
    </row>
    <row r="35" spans="1:22" s="239" customFormat="1" ht="12.95" customHeight="1" thickBot="1">
      <c r="A35" s="289" t="s">
        <v>329</v>
      </c>
      <c r="B35" s="263" t="s">
        <v>294</v>
      </c>
      <c r="C35" s="287"/>
      <c r="D35" s="294" t="s">
        <v>44</v>
      </c>
      <c r="E35" s="283"/>
      <c r="F35" s="295" t="s">
        <v>332</v>
      </c>
      <c r="G35" s="282"/>
      <c r="H35" s="294" t="s">
        <v>44</v>
      </c>
      <c r="I35" s="249"/>
      <c r="J35" s="285"/>
      <c r="K35" s="242"/>
      <c r="L35" s="274" t="s">
        <v>368</v>
      </c>
      <c r="M35" s="274"/>
      <c r="N35" s="274"/>
      <c r="O35" s="274"/>
      <c r="P35" s="274"/>
      <c r="Q35" s="274"/>
      <c r="R35" s="274"/>
      <c r="S35" s="274"/>
      <c r="T35" s="274"/>
      <c r="U35" s="274"/>
      <c r="V35" s="274"/>
    </row>
    <row r="36" spans="1:22" s="239" customFormat="1" ht="12.95" customHeight="1" thickBot="1">
      <c r="A36" s="296" t="s">
        <v>330</v>
      </c>
      <c r="B36" s="268" t="str">
        <f>IF(計算シート!C50=0,"寡婦または寡夫ですか","ひとり親ですか")</f>
        <v>ひとり親ですか</v>
      </c>
      <c r="C36" s="297"/>
      <c r="D36" s="294" t="s">
        <v>46</v>
      </c>
      <c r="E36" s="298"/>
      <c r="F36" s="272"/>
      <c r="G36" s="299"/>
      <c r="H36" s="300"/>
      <c r="I36" s="273"/>
      <c r="J36" s="285"/>
      <c r="K36" s="242"/>
      <c r="L36" s="274" t="s">
        <v>618</v>
      </c>
      <c r="M36" s="274"/>
      <c r="N36" s="274"/>
      <c r="O36" s="274"/>
      <c r="P36" s="274"/>
      <c r="Q36" s="274"/>
      <c r="R36" s="274"/>
      <c r="S36" s="274"/>
      <c r="T36" s="274"/>
      <c r="U36" s="274"/>
      <c r="V36" s="274"/>
    </row>
    <row r="37" spans="1:22" s="308" customFormat="1" ht="11.25" customHeight="1" thickTop="1" thickBot="1">
      <c r="A37" s="301" t="s">
        <v>506</v>
      </c>
      <c r="B37" s="302"/>
      <c r="C37" s="303"/>
      <c r="D37" s="302"/>
      <c r="E37" s="304"/>
      <c r="F37" s="302"/>
      <c r="G37" s="303"/>
      <c r="H37" s="305"/>
      <c r="I37" s="302"/>
      <c r="J37" s="306"/>
      <c r="K37" s="307"/>
      <c r="L37" s="274"/>
      <c r="M37" s="274"/>
      <c r="N37" s="274"/>
      <c r="O37" s="274"/>
      <c r="P37" s="274"/>
      <c r="Q37" s="274"/>
      <c r="R37" s="274"/>
      <c r="S37" s="274"/>
      <c r="T37" s="274"/>
      <c r="U37" s="274"/>
      <c r="V37" s="274"/>
    </row>
    <row r="38" spans="1:22" s="239" customFormat="1" ht="15.6" customHeight="1" thickTop="1" thickBot="1">
      <c r="A38" s="240" t="s">
        <v>283</v>
      </c>
      <c r="B38" s="248"/>
      <c r="C38" s="282"/>
      <c r="D38" s="248"/>
      <c r="E38" s="283"/>
      <c r="F38" s="248"/>
      <c r="G38" s="282"/>
      <c r="H38" s="284" t="s">
        <v>502</v>
      </c>
      <c r="I38" s="238"/>
      <c r="J38" s="285"/>
      <c r="K38" s="242"/>
      <c r="L38" s="598" t="s">
        <v>425</v>
      </c>
      <c r="M38" s="600"/>
      <c r="N38" s="600"/>
      <c r="O38" s="600"/>
      <c r="P38" s="600"/>
      <c r="Q38" s="600"/>
      <c r="R38" s="600"/>
      <c r="S38" s="600"/>
      <c r="T38" s="600"/>
      <c r="U38" s="600"/>
      <c r="V38" s="600"/>
    </row>
    <row r="39" spans="1:22" s="239" customFormat="1" ht="12.95" customHeight="1" thickBot="1">
      <c r="A39" s="286" t="s">
        <v>333</v>
      </c>
      <c r="B39" s="263" t="s">
        <v>272</v>
      </c>
      <c r="C39" s="287"/>
      <c r="D39" s="256" t="s">
        <v>365</v>
      </c>
      <c r="E39" s="283"/>
      <c r="F39" s="288" t="s">
        <v>339</v>
      </c>
      <c r="G39" s="282"/>
      <c r="H39" s="256" t="s">
        <v>49</v>
      </c>
      <c r="I39" s="249"/>
      <c r="J39" s="285"/>
      <c r="K39" s="242"/>
      <c r="L39" s="598"/>
      <c r="M39" s="600"/>
      <c r="N39" s="600"/>
      <c r="O39" s="600"/>
      <c r="P39" s="600"/>
      <c r="Q39" s="600"/>
      <c r="R39" s="600"/>
      <c r="S39" s="600"/>
      <c r="T39" s="600"/>
      <c r="U39" s="600"/>
      <c r="V39" s="600"/>
    </row>
    <row r="40" spans="1:22" s="239" customFormat="1" ht="12.95" customHeight="1" thickBot="1">
      <c r="A40" s="289" t="s">
        <v>334</v>
      </c>
      <c r="B40" s="263" t="s">
        <v>274</v>
      </c>
      <c r="C40" s="287"/>
      <c r="D40" s="264">
        <v>42000</v>
      </c>
      <c r="E40" s="285" t="s">
        <v>505</v>
      </c>
      <c r="F40" s="295" t="s">
        <v>340</v>
      </c>
      <c r="G40" s="282"/>
      <c r="H40" s="264">
        <v>2700000</v>
      </c>
      <c r="I40" s="246" t="s">
        <v>501</v>
      </c>
      <c r="J40" s="285"/>
      <c r="K40" s="242"/>
      <c r="L40" s="598"/>
      <c r="M40" s="600"/>
      <c r="N40" s="600"/>
      <c r="O40" s="600"/>
      <c r="P40" s="600"/>
      <c r="Q40" s="600"/>
      <c r="R40" s="600"/>
      <c r="S40" s="600"/>
      <c r="T40" s="600"/>
      <c r="U40" s="600"/>
      <c r="V40" s="600"/>
    </row>
    <row r="41" spans="1:22" s="239" customFormat="1" ht="12.95" customHeight="1" thickBot="1">
      <c r="A41" s="289" t="s">
        <v>335</v>
      </c>
      <c r="B41" s="263" t="s">
        <v>273</v>
      </c>
      <c r="C41" s="287"/>
      <c r="D41" s="256" t="s">
        <v>365</v>
      </c>
      <c r="E41" s="283"/>
      <c r="F41" s="295" t="s">
        <v>341</v>
      </c>
      <c r="G41" s="282"/>
      <c r="H41" s="256" t="s">
        <v>49</v>
      </c>
      <c r="I41" s="249"/>
      <c r="J41" s="285"/>
      <c r="K41" s="242"/>
      <c r="L41" s="598"/>
      <c r="M41" s="600"/>
      <c r="N41" s="600"/>
      <c r="O41" s="600"/>
      <c r="P41" s="600"/>
      <c r="Q41" s="600"/>
      <c r="R41" s="600"/>
      <c r="S41" s="600"/>
      <c r="T41" s="600"/>
      <c r="U41" s="600"/>
      <c r="V41" s="600"/>
    </row>
    <row r="42" spans="1:22" s="239" customFormat="1" ht="12.95" customHeight="1" thickBot="1">
      <c r="A42" s="289" t="s">
        <v>336</v>
      </c>
      <c r="B42" s="263" t="s">
        <v>275</v>
      </c>
      <c r="C42" s="287"/>
      <c r="D42" s="264">
        <v>0</v>
      </c>
      <c r="E42" s="285" t="s">
        <v>505</v>
      </c>
      <c r="F42" s="295" t="s">
        <v>342</v>
      </c>
      <c r="G42" s="282"/>
      <c r="H42" s="264">
        <v>0</v>
      </c>
      <c r="I42" s="309" t="s">
        <v>501</v>
      </c>
      <c r="J42" s="285"/>
      <c r="K42" s="242"/>
      <c r="L42" s="598"/>
      <c r="M42" s="600"/>
      <c r="N42" s="600"/>
      <c r="O42" s="600"/>
      <c r="P42" s="600"/>
      <c r="Q42" s="600"/>
      <c r="R42" s="600"/>
      <c r="S42" s="600"/>
      <c r="T42" s="600"/>
      <c r="U42" s="600"/>
      <c r="V42" s="600"/>
    </row>
    <row r="43" spans="1:22" s="239" customFormat="1" ht="12.95" customHeight="1" thickBot="1">
      <c r="A43" s="289" t="s">
        <v>337</v>
      </c>
      <c r="B43" s="244" t="s">
        <v>303</v>
      </c>
      <c r="C43" s="287"/>
      <c r="D43" s="256" t="s">
        <v>365</v>
      </c>
      <c r="E43" s="283"/>
      <c r="F43" s="295" t="s">
        <v>343</v>
      </c>
      <c r="G43" s="282"/>
      <c r="H43" s="256" t="s">
        <v>49</v>
      </c>
      <c r="I43" s="310"/>
      <c r="J43" s="285"/>
      <c r="K43" s="242"/>
      <c r="L43" s="598"/>
      <c r="M43" s="600"/>
      <c r="N43" s="600"/>
      <c r="O43" s="600"/>
      <c r="P43" s="600"/>
      <c r="Q43" s="600"/>
      <c r="R43" s="600"/>
      <c r="S43" s="600"/>
      <c r="T43" s="600"/>
      <c r="U43" s="600"/>
      <c r="V43" s="600"/>
    </row>
    <row r="44" spans="1:22" s="239" customFormat="1" ht="12.95" customHeight="1" thickBot="1">
      <c r="A44" s="296" t="s">
        <v>338</v>
      </c>
      <c r="B44" s="311" t="s">
        <v>304</v>
      </c>
      <c r="C44" s="312"/>
      <c r="D44" s="264">
        <v>3500</v>
      </c>
      <c r="E44" s="298" t="s">
        <v>505</v>
      </c>
      <c r="F44" s="313" t="s">
        <v>344</v>
      </c>
      <c r="G44" s="314"/>
      <c r="H44" s="264">
        <v>0</v>
      </c>
      <c r="I44" s="309" t="s">
        <v>501</v>
      </c>
      <c r="J44" s="285"/>
      <c r="K44" s="242"/>
      <c r="L44" s="598"/>
      <c r="M44" s="600"/>
      <c r="N44" s="600"/>
      <c r="O44" s="600"/>
      <c r="P44" s="600"/>
      <c r="Q44" s="600"/>
      <c r="R44" s="600"/>
      <c r="S44" s="600"/>
      <c r="T44" s="600"/>
      <c r="U44" s="600"/>
      <c r="V44" s="600"/>
    </row>
    <row r="45" spans="1:22" s="239" customFormat="1" ht="7.5" customHeight="1" thickTop="1" thickBot="1">
      <c r="A45" s="275"/>
      <c r="B45" s="275"/>
      <c r="C45" s="315"/>
      <c r="D45" s="275"/>
      <c r="E45" s="316"/>
      <c r="F45" s="275"/>
      <c r="G45" s="315"/>
      <c r="H45" s="275"/>
      <c r="I45" s="317"/>
      <c r="J45" s="285"/>
      <c r="K45" s="242"/>
      <c r="L45" s="598"/>
      <c r="M45" s="600"/>
      <c r="N45" s="600"/>
      <c r="O45" s="600"/>
      <c r="P45" s="600"/>
      <c r="Q45" s="600"/>
      <c r="R45" s="600"/>
      <c r="S45" s="600"/>
      <c r="T45" s="600"/>
      <c r="U45" s="600"/>
      <c r="V45" s="600"/>
    </row>
    <row r="46" spans="1:22" s="239" customFormat="1" ht="15.6" customHeight="1" thickTop="1" thickBot="1">
      <c r="A46" s="236" t="s">
        <v>426</v>
      </c>
      <c r="B46" s="248"/>
      <c r="C46" s="282"/>
      <c r="D46" s="248"/>
      <c r="E46" s="283"/>
      <c r="F46" s="248"/>
      <c r="G46" s="282"/>
      <c r="H46" s="284" t="s">
        <v>502</v>
      </c>
      <c r="I46" s="238"/>
      <c r="J46" s="285"/>
      <c r="K46" s="242"/>
      <c r="L46" s="598"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2025年１月分の報告省令レート（ただし、米ドルと日本円間のレートについては同年１月１日時点の最新の為替レート）を用いてください。</v>
      </c>
      <c r="M46" s="601"/>
      <c r="N46" s="601"/>
      <c r="O46" s="601"/>
      <c r="P46" s="601"/>
      <c r="Q46" s="601"/>
      <c r="R46" s="601"/>
      <c r="S46" s="601"/>
      <c r="T46" s="601"/>
      <c r="U46" s="601"/>
      <c r="V46" s="601"/>
    </row>
    <row r="47" spans="1:22" s="239" customFormat="1" ht="12.95" customHeight="1" thickBot="1">
      <c r="A47" s="289" t="s">
        <v>345</v>
      </c>
      <c r="B47" s="263" t="s">
        <v>0</v>
      </c>
      <c r="C47" s="287"/>
      <c r="D47" s="252">
        <v>0</v>
      </c>
      <c r="E47" s="285" t="s">
        <v>48</v>
      </c>
      <c r="F47" s="288" t="s">
        <v>354</v>
      </c>
      <c r="G47" s="282"/>
      <c r="H47" s="252">
        <v>2</v>
      </c>
      <c r="I47" s="246" t="s">
        <v>48</v>
      </c>
      <c r="J47" s="285"/>
      <c r="K47" s="242"/>
      <c r="L47" s="602"/>
      <c r="M47" s="601"/>
      <c r="N47" s="601"/>
      <c r="O47" s="601"/>
      <c r="P47" s="601"/>
      <c r="Q47" s="601"/>
      <c r="R47" s="601"/>
      <c r="S47" s="601"/>
      <c r="T47" s="601"/>
      <c r="U47" s="601"/>
      <c r="V47" s="601"/>
    </row>
    <row r="48" spans="1:22" s="239" customFormat="1" ht="12.95" customHeight="1" thickBot="1">
      <c r="A48" s="289" t="s">
        <v>346</v>
      </c>
      <c r="B48" s="263" t="s">
        <v>1</v>
      </c>
      <c r="C48" s="287"/>
      <c r="D48" s="252">
        <v>0</v>
      </c>
      <c r="E48" s="285" t="s">
        <v>48</v>
      </c>
      <c r="F48" s="295" t="s">
        <v>355</v>
      </c>
      <c r="G48" s="282"/>
      <c r="H48" s="252">
        <v>0</v>
      </c>
      <c r="I48" s="246" t="s">
        <v>48</v>
      </c>
      <c r="J48" s="285"/>
      <c r="K48" s="242"/>
      <c r="L48" s="602"/>
      <c r="M48" s="601"/>
      <c r="N48" s="601"/>
      <c r="O48" s="601"/>
      <c r="P48" s="601"/>
      <c r="Q48" s="601"/>
      <c r="R48" s="601"/>
      <c r="S48" s="601"/>
      <c r="T48" s="601"/>
      <c r="U48" s="601"/>
      <c r="V48" s="601"/>
    </row>
    <row r="49" spans="1:22" s="239" customFormat="1" ht="12.95" customHeight="1" thickBot="1">
      <c r="A49" s="289" t="s">
        <v>347</v>
      </c>
      <c r="B49" s="263" t="s">
        <v>2</v>
      </c>
      <c r="C49" s="287"/>
      <c r="D49" s="252">
        <v>1</v>
      </c>
      <c r="E49" s="285" t="s">
        <v>48</v>
      </c>
      <c r="F49" s="295" t="s">
        <v>356</v>
      </c>
      <c r="G49" s="282"/>
      <c r="H49" s="252">
        <v>0</v>
      </c>
      <c r="I49" s="246" t="s">
        <v>48</v>
      </c>
      <c r="J49" s="285"/>
      <c r="K49" s="242"/>
      <c r="L49" s="602"/>
      <c r="M49" s="601"/>
      <c r="N49" s="601"/>
      <c r="O49" s="601"/>
      <c r="P49" s="601"/>
      <c r="Q49" s="601"/>
      <c r="R49" s="601"/>
      <c r="S49" s="601"/>
      <c r="T49" s="601"/>
      <c r="U49" s="601"/>
      <c r="V49" s="601"/>
    </row>
    <row r="50" spans="1:22" s="239" customFormat="1" ht="12.95" customHeight="1" thickBot="1">
      <c r="A50" s="289" t="s">
        <v>348</v>
      </c>
      <c r="B50" s="263" t="s">
        <v>3</v>
      </c>
      <c r="C50" s="287"/>
      <c r="D50" s="252">
        <v>0</v>
      </c>
      <c r="E50" s="285" t="s">
        <v>48</v>
      </c>
      <c r="F50" s="295" t="s">
        <v>357</v>
      </c>
      <c r="G50" s="282"/>
      <c r="H50" s="252">
        <v>0</v>
      </c>
      <c r="I50" s="246" t="s">
        <v>48</v>
      </c>
      <c r="J50" s="285"/>
      <c r="K50" s="242"/>
      <c r="L50" s="598" t="s">
        <v>619</v>
      </c>
      <c r="M50" s="600"/>
      <c r="N50" s="600"/>
      <c r="O50" s="600"/>
      <c r="P50" s="600"/>
      <c r="Q50" s="600"/>
      <c r="R50" s="600"/>
      <c r="S50" s="600"/>
      <c r="T50" s="600"/>
      <c r="U50" s="600"/>
      <c r="V50" s="600"/>
    </row>
    <row r="51" spans="1:22" s="239" customFormat="1" ht="12.95" customHeight="1" thickBot="1">
      <c r="A51" s="289" t="s">
        <v>349</v>
      </c>
      <c r="B51" s="263" t="s">
        <v>4</v>
      </c>
      <c r="C51" s="287"/>
      <c r="D51" s="252">
        <v>0</v>
      </c>
      <c r="E51" s="285" t="s">
        <v>48</v>
      </c>
      <c r="F51" s="295" t="s">
        <v>358</v>
      </c>
      <c r="G51" s="282"/>
      <c r="H51" s="252">
        <v>0</v>
      </c>
      <c r="I51" s="246" t="s">
        <v>48</v>
      </c>
      <c r="J51" s="285"/>
      <c r="K51" s="242"/>
      <c r="L51" s="598"/>
      <c r="M51" s="600"/>
      <c r="N51" s="600"/>
      <c r="O51" s="600"/>
      <c r="P51" s="600"/>
      <c r="Q51" s="600"/>
      <c r="R51" s="600"/>
      <c r="S51" s="600"/>
      <c r="T51" s="600"/>
      <c r="U51" s="600"/>
      <c r="V51" s="600"/>
    </row>
    <row r="52" spans="1:22" s="239" customFormat="1" ht="12.95" customHeight="1" thickBot="1">
      <c r="A52" s="289" t="s">
        <v>350</v>
      </c>
      <c r="B52" s="263" t="s">
        <v>5</v>
      </c>
      <c r="C52" s="287"/>
      <c r="D52" s="252">
        <v>0</v>
      </c>
      <c r="E52" s="285" t="s">
        <v>48</v>
      </c>
      <c r="F52" s="295" t="s">
        <v>359</v>
      </c>
      <c r="G52" s="282"/>
      <c r="H52" s="252">
        <v>0</v>
      </c>
      <c r="I52" s="246" t="s">
        <v>48</v>
      </c>
      <c r="J52" s="285"/>
      <c r="K52" s="242"/>
      <c r="L52" s="598"/>
      <c r="M52" s="600"/>
      <c r="N52" s="600"/>
      <c r="O52" s="600"/>
      <c r="P52" s="600"/>
      <c r="Q52" s="600"/>
      <c r="R52" s="600"/>
      <c r="S52" s="600"/>
      <c r="T52" s="600"/>
      <c r="U52" s="600"/>
      <c r="V52" s="600"/>
    </row>
    <row r="53" spans="1:22" s="239" customFormat="1" ht="12.95" customHeight="1" thickBot="1">
      <c r="A53" s="289" t="s">
        <v>351</v>
      </c>
      <c r="B53" s="263" t="s">
        <v>299</v>
      </c>
      <c r="C53" s="287"/>
      <c r="D53" s="252">
        <v>0</v>
      </c>
      <c r="E53" s="285" t="s">
        <v>48</v>
      </c>
      <c r="F53" s="295" t="s">
        <v>360</v>
      </c>
      <c r="G53" s="282"/>
      <c r="H53" s="252">
        <v>0</v>
      </c>
      <c r="I53" s="246" t="s">
        <v>48</v>
      </c>
      <c r="J53" s="285"/>
      <c r="K53" s="242"/>
      <c r="L53" s="598" t="s">
        <v>394</v>
      </c>
      <c r="M53" s="600"/>
      <c r="N53" s="600"/>
      <c r="O53" s="600"/>
      <c r="P53" s="600"/>
      <c r="Q53" s="600"/>
      <c r="R53" s="600"/>
      <c r="S53" s="600"/>
      <c r="T53" s="600"/>
      <c r="U53" s="600"/>
      <c r="V53" s="600"/>
    </row>
    <row r="54" spans="1:22" s="239" customFormat="1" ht="12.95" customHeight="1" thickBot="1">
      <c r="A54" s="289" t="s">
        <v>352</v>
      </c>
      <c r="B54" s="318" t="s">
        <v>300</v>
      </c>
      <c r="C54" s="319"/>
      <c r="D54" s="252">
        <v>0</v>
      </c>
      <c r="E54" s="285" t="s">
        <v>48</v>
      </c>
      <c r="F54" s="295" t="s">
        <v>361</v>
      </c>
      <c r="G54" s="282"/>
      <c r="H54" s="252">
        <v>0</v>
      </c>
      <c r="I54" s="246" t="s">
        <v>48</v>
      </c>
      <c r="J54" s="285"/>
      <c r="K54" s="242"/>
      <c r="L54" s="598"/>
      <c r="M54" s="600"/>
      <c r="N54" s="600"/>
      <c r="O54" s="600"/>
      <c r="P54" s="600"/>
      <c r="Q54" s="600"/>
      <c r="R54" s="600"/>
      <c r="S54" s="600"/>
      <c r="T54" s="600"/>
      <c r="U54" s="600"/>
      <c r="V54" s="600"/>
    </row>
    <row r="55" spans="1:22" s="239" customFormat="1" ht="12.95" customHeight="1" thickBot="1">
      <c r="A55" s="296" t="s">
        <v>353</v>
      </c>
      <c r="B55" s="320" t="s">
        <v>301</v>
      </c>
      <c r="C55" s="297"/>
      <c r="D55" s="252">
        <v>0</v>
      </c>
      <c r="E55" s="298" t="s">
        <v>48</v>
      </c>
      <c r="F55" s="321" t="s">
        <v>362</v>
      </c>
      <c r="G55" s="314"/>
      <c r="H55" s="252">
        <v>0</v>
      </c>
      <c r="I55" s="270" t="s">
        <v>48</v>
      </c>
      <c r="J55" s="285"/>
      <c r="K55" s="242"/>
      <c r="L55" s="598"/>
      <c r="M55" s="600"/>
      <c r="N55" s="600"/>
      <c r="O55" s="600"/>
      <c r="P55" s="600"/>
      <c r="Q55" s="600"/>
      <c r="R55" s="600"/>
      <c r="S55" s="600"/>
      <c r="T55" s="600"/>
      <c r="U55" s="600"/>
      <c r="V55" s="600"/>
    </row>
    <row r="56" spans="1:22" ht="6.6" customHeight="1" thickTop="1">
      <c r="C56" s="322"/>
      <c r="D56" s="323"/>
      <c r="E56" s="324"/>
      <c r="G56" s="322"/>
      <c r="H56" s="325"/>
      <c r="I56" s="325"/>
      <c r="J56" s="324"/>
      <c r="K56" s="219"/>
      <c r="L56" s="186"/>
      <c r="M56" s="186"/>
      <c r="N56" s="186"/>
      <c r="O56" s="186"/>
      <c r="P56" s="186"/>
      <c r="Q56" s="186"/>
      <c r="R56" s="186"/>
      <c r="S56" s="186"/>
      <c r="T56" s="186"/>
      <c r="U56" s="186"/>
      <c r="V56" s="186"/>
    </row>
    <row r="57" spans="1:22" ht="12.75" hidden="1" customHeight="1">
      <c r="B57" s="218" t="s">
        <v>292</v>
      </c>
      <c r="K57" s="219"/>
      <c r="L57" s="186"/>
      <c r="M57" s="186"/>
      <c r="N57" s="186"/>
      <c r="O57" s="186"/>
      <c r="P57" s="186"/>
      <c r="Q57" s="186"/>
      <c r="R57" s="186"/>
      <c r="S57" s="186"/>
      <c r="T57" s="186"/>
      <c r="U57" s="186"/>
      <c r="V57" s="186"/>
    </row>
    <row r="58" spans="1:22" ht="17.25" hidden="1" customHeight="1" thickBot="1">
      <c r="B58" s="231" t="s">
        <v>38</v>
      </c>
      <c r="C58" s="231"/>
      <c r="D58" s="326" t="s">
        <v>367</v>
      </c>
      <c r="E58" s="231"/>
      <c r="H58" s="231" t="s">
        <v>427</v>
      </c>
      <c r="I58" s="231"/>
      <c r="K58" s="219"/>
      <c r="L58" s="186" t="s">
        <v>369</v>
      </c>
      <c r="M58" s="186"/>
      <c r="N58" s="186"/>
      <c r="O58" s="186"/>
      <c r="P58" s="186"/>
      <c r="Q58" s="186"/>
      <c r="R58" s="186"/>
      <c r="S58" s="186"/>
      <c r="T58" s="186"/>
      <c r="U58" s="186"/>
      <c r="V58" s="186"/>
    </row>
    <row r="59" spans="1:22" ht="23.25" hidden="1" customHeight="1" thickBot="1">
      <c r="B59" s="188" t="s">
        <v>279</v>
      </c>
      <c r="C59" s="188"/>
      <c r="D59" s="327" t="s">
        <v>366</v>
      </c>
      <c r="E59" s="188"/>
      <c r="H59" s="231" t="s">
        <v>428</v>
      </c>
      <c r="I59" s="231"/>
      <c r="K59" s="219"/>
      <c r="L59" s="186"/>
      <c r="M59" s="186"/>
      <c r="N59" s="186"/>
      <c r="O59" s="186"/>
      <c r="P59" s="186"/>
      <c r="Q59" s="186"/>
      <c r="R59" s="186"/>
      <c r="S59" s="186"/>
      <c r="T59" s="186"/>
      <c r="U59" s="186"/>
      <c r="V59" s="186"/>
    </row>
    <row r="60" spans="1:22" ht="6.75" customHeight="1">
      <c r="K60" s="219"/>
      <c r="L60" s="186"/>
      <c r="M60" s="186"/>
      <c r="N60" s="186"/>
      <c r="O60" s="186"/>
      <c r="P60" s="186"/>
      <c r="Q60" s="186"/>
      <c r="R60" s="186"/>
      <c r="S60" s="186"/>
      <c r="T60" s="186"/>
      <c r="U60" s="186"/>
      <c r="V60" s="186"/>
    </row>
    <row r="61" spans="1:22">
      <c r="B61" s="218" t="s">
        <v>307</v>
      </c>
      <c r="K61" s="219"/>
      <c r="L61" s="186" t="s">
        <v>613</v>
      </c>
      <c r="M61" s="186"/>
      <c r="N61" s="186"/>
      <c r="O61" s="186"/>
      <c r="P61" s="186"/>
      <c r="Q61" s="186"/>
      <c r="R61" s="186"/>
      <c r="S61" s="186"/>
      <c r="T61" s="186"/>
      <c r="U61" s="186"/>
      <c r="V61" s="186"/>
    </row>
    <row r="62" spans="1:22" ht="13.5" customHeight="1">
      <c r="B62" s="328" t="s">
        <v>389</v>
      </c>
      <c r="K62" s="219"/>
      <c r="L62" s="598" t="s">
        <v>624</v>
      </c>
      <c r="M62" s="599"/>
      <c r="N62" s="599"/>
      <c r="O62" s="599"/>
      <c r="P62" s="599"/>
      <c r="Q62" s="599"/>
      <c r="R62" s="599"/>
      <c r="S62" s="599"/>
      <c r="T62" s="599"/>
      <c r="U62" s="599"/>
      <c r="V62" s="599"/>
    </row>
    <row r="63" spans="1:22" ht="13.5" customHeight="1">
      <c r="B63" s="329" t="s">
        <v>308</v>
      </c>
      <c r="K63" s="219"/>
      <c r="L63" s="598"/>
      <c r="M63" s="599"/>
      <c r="N63" s="599"/>
      <c r="O63" s="599"/>
      <c r="P63" s="599"/>
      <c r="Q63" s="599"/>
      <c r="R63" s="599"/>
      <c r="S63" s="599"/>
      <c r="T63" s="599"/>
      <c r="U63" s="599"/>
      <c r="V63" s="599"/>
    </row>
    <row r="64" spans="1:22">
      <c r="B64" s="329" t="s">
        <v>409</v>
      </c>
      <c r="K64" s="219"/>
      <c r="L64" s="598"/>
      <c r="M64" s="599"/>
      <c r="N64" s="599"/>
      <c r="O64" s="599"/>
      <c r="P64" s="599"/>
      <c r="Q64" s="599"/>
      <c r="R64" s="599"/>
      <c r="S64" s="599"/>
      <c r="T64" s="599"/>
      <c r="U64" s="599"/>
      <c r="V64" s="599"/>
    </row>
    <row r="65" spans="1:22" ht="13.5" customHeight="1">
      <c r="B65" s="329" t="s">
        <v>388</v>
      </c>
      <c r="K65" s="219"/>
      <c r="L65" s="598"/>
      <c r="M65" s="599"/>
      <c r="N65" s="599"/>
      <c r="O65" s="599"/>
      <c r="P65" s="599"/>
      <c r="Q65" s="599"/>
      <c r="R65" s="599"/>
      <c r="S65" s="599"/>
      <c r="T65" s="599"/>
      <c r="U65" s="599"/>
      <c r="V65" s="599"/>
    </row>
    <row r="66" spans="1:22">
      <c r="B66" s="330" t="s">
        <v>410</v>
      </c>
      <c r="C66" s="331"/>
      <c r="D66" s="331"/>
      <c r="E66" s="331"/>
      <c r="F66" s="331"/>
      <c r="G66" s="331"/>
      <c r="H66" s="331"/>
      <c r="K66" s="219"/>
      <c r="L66" s="598" t="s">
        <v>623</v>
      </c>
      <c r="M66" s="599"/>
      <c r="N66" s="599"/>
      <c r="O66" s="599"/>
      <c r="P66" s="599"/>
      <c r="Q66" s="599"/>
      <c r="R66" s="599"/>
      <c r="S66" s="599"/>
      <c r="T66" s="599"/>
      <c r="U66" s="599"/>
      <c r="V66" s="599"/>
    </row>
    <row r="67" spans="1:22">
      <c r="A67" s="208"/>
      <c r="B67" s="332" t="s">
        <v>302</v>
      </c>
      <c r="C67" s="208"/>
      <c r="D67" s="208"/>
      <c r="E67" s="208"/>
      <c r="F67" s="208"/>
      <c r="G67" s="208"/>
      <c r="H67" s="208"/>
      <c r="I67" s="208"/>
      <c r="J67" s="208"/>
      <c r="K67" s="219"/>
      <c r="L67" s="598"/>
      <c r="M67" s="599"/>
      <c r="N67" s="599"/>
      <c r="O67" s="599"/>
      <c r="P67" s="599"/>
      <c r="Q67" s="599"/>
      <c r="R67" s="599"/>
      <c r="S67" s="599"/>
      <c r="T67" s="599"/>
      <c r="U67" s="599"/>
      <c r="V67" s="599"/>
    </row>
    <row r="68" spans="1:22" ht="10.5" customHeight="1">
      <c r="A68" s="333"/>
      <c r="B68" s="197" t="s">
        <v>411</v>
      </c>
      <c r="C68" s="333"/>
      <c r="D68" s="333"/>
      <c r="E68" s="333"/>
      <c r="F68" s="333"/>
      <c r="G68" s="333"/>
      <c r="H68" s="333"/>
      <c r="I68" s="333"/>
      <c r="J68" s="333"/>
      <c r="K68" s="333"/>
      <c r="L68" s="598"/>
      <c r="M68" s="599"/>
      <c r="N68" s="599"/>
      <c r="O68" s="599"/>
      <c r="P68" s="599"/>
      <c r="Q68" s="599"/>
      <c r="R68" s="599"/>
      <c r="S68" s="599"/>
      <c r="T68" s="599"/>
      <c r="U68" s="599"/>
      <c r="V68" s="599"/>
    </row>
    <row r="69" spans="1:22" ht="10.5" customHeight="1">
      <c r="B69" s="218" t="s">
        <v>298</v>
      </c>
      <c r="L69" s="598"/>
      <c r="M69" s="599"/>
      <c r="N69" s="599"/>
      <c r="O69" s="599"/>
      <c r="P69" s="599"/>
      <c r="Q69" s="599"/>
      <c r="R69" s="599"/>
      <c r="S69" s="599"/>
      <c r="T69" s="599"/>
      <c r="U69" s="599"/>
      <c r="V69" s="599"/>
    </row>
    <row r="70" spans="1:22">
      <c r="A70" s="334"/>
      <c r="B70" s="335" t="s">
        <v>390</v>
      </c>
      <c r="C70" s="336"/>
      <c r="D70" s="337">
        <v>0</v>
      </c>
      <c r="E70" s="338"/>
      <c r="F70" s="595"/>
      <c r="G70" s="596"/>
      <c r="H70" s="596"/>
      <c r="I70" s="597"/>
      <c r="K70" s="219"/>
      <c r="L70" s="598" t="s">
        <v>625</v>
      </c>
      <c r="M70" s="599"/>
      <c r="N70" s="599"/>
      <c r="O70" s="599"/>
      <c r="P70" s="599"/>
      <c r="Q70" s="599"/>
      <c r="R70" s="599"/>
      <c r="S70" s="599"/>
      <c r="T70" s="599"/>
      <c r="U70" s="599"/>
      <c r="V70" s="599"/>
    </row>
    <row r="71" spans="1:22" ht="10.5" customHeight="1">
      <c r="A71" s="339"/>
      <c r="B71" s="340" t="s">
        <v>391</v>
      </c>
      <c r="C71" s="341"/>
      <c r="D71" s="342">
        <v>0</v>
      </c>
      <c r="E71" s="343"/>
      <c r="F71" s="344"/>
      <c r="G71" s="344"/>
      <c r="H71" s="342">
        <v>0</v>
      </c>
      <c r="I71" s="345"/>
      <c r="J71" s="208"/>
      <c r="K71" s="219"/>
      <c r="L71" s="598"/>
      <c r="M71" s="599"/>
      <c r="N71" s="599"/>
      <c r="O71" s="599"/>
      <c r="P71" s="599"/>
      <c r="Q71" s="599"/>
      <c r="R71" s="599"/>
      <c r="S71" s="599"/>
      <c r="T71" s="599"/>
      <c r="U71" s="599"/>
      <c r="V71" s="599"/>
    </row>
    <row r="72" spans="1:22" ht="10.5" customHeight="1">
      <c r="B72" s="346" t="s">
        <v>392</v>
      </c>
      <c r="C72" s="347"/>
      <c r="D72" s="348">
        <v>0</v>
      </c>
      <c r="E72" s="349"/>
      <c r="F72" s="350"/>
      <c r="G72" s="350"/>
      <c r="H72" s="348">
        <v>0</v>
      </c>
      <c r="I72" s="351"/>
      <c r="J72" s="208"/>
      <c r="K72" s="219"/>
      <c r="L72" s="328" t="s">
        <v>418</v>
      </c>
      <c r="M72" s="186"/>
      <c r="N72" s="186"/>
      <c r="O72" s="186"/>
      <c r="P72" s="186"/>
      <c r="Q72" s="186"/>
      <c r="R72" s="186"/>
      <c r="S72" s="186"/>
      <c r="T72" s="186"/>
      <c r="U72" s="186"/>
      <c r="V72" s="186"/>
    </row>
    <row r="73" spans="1:22" ht="10.5" customHeight="1">
      <c r="B73" s="352" t="s">
        <v>393</v>
      </c>
      <c r="C73" s="353"/>
      <c r="D73" s="354">
        <v>0</v>
      </c>
      <c r="E73" s="355"/>
      <c r="F73" s="356"/>
      <c r="G73" s="356"/>
      <c r="H73" s="354">
        <v>0</v>
      </c>
      <c r="I73" s="357"/>
      <c r="K73" s="358" t="s">
        <v>499</v>
      </c>
      <c r="L73" s="329" t="s">
        <v>429</v>
      </c>
      <c r="M73" s="186"/>
      <c r="N73" s="186"/>
      <c r="O73" s="186"/>
      <c r="P73" s="186"/>
      <c r="Q73" s="186"/>
      <c r="R73" s="186"/>
      <c r="S73" s="186"/>
      <c r="T73" s="186"/>
      <c r="U73" s="186"/>
      <c r="V73" s="186"/>
    </row>
    <row r="74" spans="1:22" ht="10.5" customHeight="1"/>
  </sheetData>
  <protectedRanges>
    <protectedRange sqref="H8" name="範囲1"/>
    <protectedRange sqref="D19" name="範囲1_1"/>
    <protectedRange sqref="D31" name="範囲1_2"/>
    <protectedRange sqref="H31" name="範囲1_3"/>
  </protectedRanges>
  <mergeCells count="21">
    <mergeCell ref="A1:I1"/>
    <mergeCell ref="E8:G8"/>
    <mergeCell ref="L7:V8"/>
    <mergeCell ref="B5:I6"/>
    <mergeCell ref="E12:G12"/>
    <mergeCell ref="L1:V1"/>
    <mergeCell ref="L9:V11"/>
    <mergeCell ref="L4:V6"/>
    <mergeCell ref="L12:V14"/>
    <mergeCell ref="E10:G10"/>
    <mergeCell ref="F70:I70"/>
    <mergeCell ref="L15:V18"/>
    <mergeCell ref="L32:V34"/>
    <mergeCell ref="L38:V45"/>
    <mergeCell ref="L53:V55"/>
    <mergeCell ref="L24:V27"/>
    <mergeCell ref="L62:V65"/>
    <mergeCell ref="L66:V69"/>
    <mergeCell ref="L70:V71"/>
    <mergeCell ref="L50:V52"/>
    <mergeCell ref="L46:V49"/>
  </mergeCells>
  <phoneticPr fontId="2"/>
  <conditionalFormatting sqref="B36:E36">
    <cfRule type="expression" dxfId="19" priority="10">
      <formula>$D$32="はい"</formula>
    </cfRule>
  </conditionalFormatting>
  <conditionalFormatting sqref="H36">
    <cfRule type="expression" dxfId="18" priority="4">
      <formula>$D$32="はい"</formula>
    </cfRule>
  </conditionalFormatting>
  <conditionalFormatting sqref="G47:I55">
    <cfRule type="expression" dxfId="17" priority="9">
      <formula>$D$32="いいえ"</formula>
    </cfRule>
  </conditionalFormatting>
  <conditionalFormatting sqref="H71:I73">
    <cfRule type="expression" dxfId="16" priority="8">
      <formula>OR($D$32="いいえ",$D$33="いいえ")</formula>
    </cfRule>
  </conditionalFormatting>
  <conditionalFormatting sqref="B24:E27">
    <cfRule type="expression" dxfId="15" priority="7">
      <formula>$D$23="いいえ"</formula>
    </cfRule>
  </conditionalFormatting>
  <conditionalFormatting sqref="B22:D22">
    <cfRule type="expression" dxfId="14" priority="6">
      <formula>$D$21&lt;&gt;"特別の障がい者である"</formula>
    </cfRule>
  </conditionalFormatting>
  <conditionalFormatting sqref="B33:E34">
    <cfRule type="expression" dxfId="13" priority="5">
      <formula>$D$32="いいえ"</formula>
    </cfRule>
  </conditionalFormatting>
  <conditionalFormatting sqref="G38:I44">
    <cfRule type="expression" dxfId="12" priority="3">
      <formula>$D$32="いいえ"</formula>
    </cfRule>
  </conditionalFormatting>
  <conditionalFormatting sqref="G30:I30 G32:I36 G31 I31">
    <cfRule type="expression" dxfId="11" priority="2">
      <formula>$D$32="いいえ"</formula>
    </cfRule>
  </conditionalFormatting>
  <conditionalFormatting sqref="H31">
    <cfRule type="expression" dxfId="10" priority="1">
      <formula>$D$32="いいえ"</formula>
    </cfRule>
  </conditionalFormatting>
  <dataValidations count="5">
    <dataValidation type="list" allowBlank="1" showInputMessage="1" showErrorMessage="1" sqref="H35">
      <formula1>$F$12:$F$13</formula1>
    </dataValidation>
    <dataValidation type="date" allowBlank="1" showInputMessage="1" showErrorMessage="1" sqref="H8">
      <formula1>1</formula1>
      <formula2>401404</formula2>
    </dataValidation>
    <dataValidation type="list" allowBlank="1" showInputMessage="1" showErrorMessage="1" sqref="D22:D23">
      <formula1>$F$3:$F$4</formula1>
    </dataValidation>
    <dataValidation type="whole" allowBlank="1" showInputMessage="1" showErrorMessage="1" sqref="D10">
      <formula1>2000</formula1>
      <formula2>9999</formula2>
    </dataValidation>
    <dataValidation type="date" allowBlank="1" showInputMessage="1" showErrorMessage="1" sqref="D19 D31 H31">
      <formula1>1</formula1>
      <formula2>73051</formula2>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計算シート!$F$5:$F$7</xm:f>
          </x14:formula1>
          <xm:sqref>D21</xm:sqref>
        </x14:dataValidation>
        <x14:dataValidation type="list" allowBlank="1" showInputMessage="1" showErrorMessage="1">
          <x14:formula1>
            <xm:f>計算シート!$F$11:$F$13</xm:f>
          </x14:formula1>
          <xm:sqref>D20</xm:sqref>
        </x14:dataValidation>
        <x14:dataValidation type="list" allowBlank="1" showInputMessage="1" showErrorMessage="1">
          <x14:formula1>
            <xm:f>計算シート!$F$8:$F$10</xm:f>
          </x14:formula1>
          <xm:sqref>D36</xm:sqref>
        </x14:dataValidation>
        <x14:dataValidation type="list" allowBlank="1" showInputMessage="1" showErrorMessage="1">
          <x14:formula1>
            <xm:f>前年レート!$N$12:$N$74</xm:f>
          </x14:formula1>
          <xm:sqref>D39 D43 H39 D41 H41 H43 D24 D26</xm:sqref>
        </x14:dataValidation>
        <x14:dataValidation type="list" allowBlank="1" showInputMessage="1" showErrorMessage="1">
          <x14:formula1>
            <xm:f>計算シート!$F$5:$F$6</xm:f>
          </x14:formula1>
          <xm:sqref>D35</xm:sqref>
        </x14:dataValidation>
        <x14:dataValidation type="list" allowBlank="1" showInputMessage="1" showErrorMessage="1">
          <x14:formula1>
            <xm:f>計算シート!$F$3:$F$4</xm:f>
          </x14:formula1>
          <xm:sqref>D32:D34</xm:sqref>
        </x14:dataValidation>
        <x14:dataValidation type="list" allowBlank="1" showInputMessage="1" showErrorMessage="1">
          <x14:formula1>
            <xm:f>計算シート!$F$15:$F$19</xm:f>
          </x14:formula1>
          <xm:sqref>H10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3"/>
  <sheetViews>
    <sheetView view="pageBreakPreview" zoomScaleNormal="100" zoomScaleSheetLayoutView="100" workbookViewId="0">
      <selection activeCell="D39" sqref="D39"/>
    </sheetView>
  </sheetViews>
  <sheetFormatPr defaultRowHeight="13.5"/>
  <cols>
    <col min="1" max="1" width="3.125" customWidth="1"/>
    <col min="2" max="2" width="34.625" customWidth="1"/>
    <col min="3" max="3" width="0.625" customWidth="1"/>
    <col min="4" max="4" width="16.625" customWidth="1"/>
    <col min="5" max="5" width="4.75" bestFit="1" customWidth="1"/>
    <col min="6" max="6" width="4.125" customWidth="1"/>
    <col min="7" max="7" width="2.5" customWidth="1"/>
    <col min="8" max="8" width="16.625" customWidth="1"/>
    <col min="9" max="9" width="4.75" bestFit="1" customWidth="1"/>
    <col min="10" max="15" width="0.625" customWidth="1"/>
    <col min="16" max="16" width="4.875" customWidth="1"/>
    <col min="27" max="27" width="4.25" customWidth="1"/>
  </cols>
  <sheetData>
    <row r="1" spans="1:27">
      <c r="A1" s="573" t="s">
        <v>498</v>
      </c>
      <c r="B1" s="573"/>
      <c r="C1" s="573"/>
      <c r="D1" s="573"/>
      <c r="E1" s="573"/>
      <c r="F1" s="573"/>
      <c r="G1" s="573"/>
      <c r="H1" s="573"/>
      <c r="I1" s="573"/>
      <c r="P1" s="183"/>
      <c r="Q1" s="573" t="s">
        <v>363</v>
      </c>
      <c r="R1" s="573"/>
      <c r="S1" s="573"/>
      <c r="T1" s="573"/>
      <c r="U1" s="573"/>
      <c r="V1" s="573"/>
      <c r="W1" s="573"/>
      <c r="X1" s="573"/>
      <c r="Y1" s="573"/>
      <c r="Z1" s="573"/>
      <c r="AA1" s="573"/>
    </row>
    <row r="2" spans="1:27" ht="6" customHeight="1">
      <c r="A2" s="506"/>
      <c r="B2" s="506"/>
      <c r="C2" s="506"/>
      <c r="D2" s="506"/>
      <c r="E2" s="506"/>
      <c r="F2" s="506"/>
      <c r="G2" s="506"/>
      <c r="H2" s="506"/>
      <c r="I2" s="506"/>
      <c r="P2" s="183"/>
    </row>
    <row r="3" spans="1:27">
      <c r="A3" s="87" t="s">
        <v>297</v>
      </c>
      <c r="C3" s="506"/>
      <c r="D3" s="506"/>
      <c r="E3" s="506"/>
      <c r="F3" s="506"/>
      <c r="G3" s="506"/>
      <c r="H3" s="506"/>
      <c r="I3" s="506"/>
      <c r="P3" s="183"/>
      <c r="Q3" s="182" t="s">
        <v>608</v>
      </c>
      <c r="R3" s="182"/>
      <c r="S3" s="182"/>
      <c r="T3" s="182"/>
      <c r="U3" s="182"/>
      <c r="V3" s="182"/>
      <c r="W3" s="182"/>
      <c r="X3" s="182"/>
      <c r="Y3" s="182"/>
      <c r="Z3" s="182"/>
      <c r="AA3" s="182"/>
    </row>
    <row r="4" spans="1:27" ht="15.75" customHeight="1">
      <c r="A4" s="506"/>
      <c r="B4" s="87"/>
      <c r="C4" s="506"/>
      <c r="D4" s="506"/>
      <c r="E4" s="506"/>
      <c r="F4" s="506"/>
      <c r="G4" s="506"/>
      <c r="H4" s="506"/>
      <c r="I4" s="506"/>
      <c r="P4" s="183"/>
      <c r="Q4" s="598" t="s">
        <v>615</v>
      </c>
      <c r="R4" s="600"/>
      <c r="S4" s="600"/>
      <c r="T4" s="600"/>
      <c r="U4" s="600"/>
      <c r="V4" s="600"/>
      <c r="W4" s="600"/>
      <c r="X4" s="600"/>
      <c r="Y4" s="600"/>
      <c r="Z4" s="600"/>
      <c r="AA4" s="600"/>
    </row>
    <row r="5" spans="1:27" ht="13.5" customHeight="1">
      <c r="A5" s="506"/>
      <c r="B5" s="574" t="s">
        <v>430</v>
      </c>
      <c r="C5" s="574"/>
      <c r="D5" s="574"/>
      <c r="E5" s="574"/>
      <c r="F5" s="574"/>
      <c r="G5" s="574"/>
      <c r="H5" s="574"/>
      <c r="I5" s="574"/>
      <c r="P5" s="183"/>
      <c r="Q5" s="598"/>
      <c r="R5" s="600"/>
      <c r="S5" s="600"/>
      <c r="T5" s="600"/>
      <c r="U5" s="600"/>
      <c r="V5" s="600"/>
      <c r="W5" s="600"/>
      <c r="X5" s="600"/>
      <c r="Y5" s="600"/>
      <c r="Z5" s="600"/>
      <c r="AA5" s="600"/>
    </row>
    <row r="6" spans="1:27">
      <c r="A6" s="506"/>
      <c r="B6" s="574"/>
      <c r="C6" s="574"/>
      <c r="D6" s="574"/>
      <c r="E6" s="574"/>
      <c r="F6" s="574"/>
      <c r="G6" s="574"/>
      <c r="H6" s="574"/>
      <c r="I6" s="574"/>
      <c r="P6" s="183"/>
      <c r="Q6" s="598"/>
      <c r="R6" s="600"/>
      <c r="S6" s="600"/>
      <c r="T6" s="600"/>
      <c r="U6" s="600"/>
      <c r="V6" s="600"/>
      <c r="W6" s="600"/>
      <c r="X6" s="600"/>
      <c r="Y6" s="600"/>
      <c r="Z6" s="600"/>
      <c r="AA6" s="600"/>
    </row>
    <row r="7" spans="1:27" ht="13.5" customHeight="1">
      <c r="A7" s="506"/>
      <c r="B7" s="507"/>
      <c r="C7" s="507"/>
      <c r="D7" s="507"/>
      <c r="E7" s="507"/>
      <c r="F7" s="507"/>
      <c r="G7" s="507"/>
      <c r="H7" s="507"/>
      <c r="I7" s="507"/>
      <c r="P7" s="183"/>
      <c r="Q7" s="598" t="s">
        <v>395</v>
      </c>
      <c r="R7" s="600"/>
      <c r="S7" s="600"/>
      <c r="T7" s="600"/>
      <c r="U7" s="600"/>
      <c r="V7" s="600"/>
      <c r="W7" s="600"/>
      <c r="X7" s="600"/>
      <c r="Y7" s="600"/>
      <c r="Z7" s="600"/>
      <c r="AA7" s="600"/>
    </row>
    <row r="8" spans="1:27" ht="14.25" thickBot="1">
      <c r="A8" s="506"/>
      <c r="B8" s="507"/>
      <c r="C8" s="507"/>
      <c r="D8" s="507"/>
      <c r="E8" s="584" t="s">
        <v>386</v>
      </c>
      <c r="F8" s="584"/>
      <c r="G8" s="584"/>
      <c r="H8" s="508">
        <v>43647</v>
      </c>
      <c r="I8" s="507"/>
      <c r="P8" s="183"/>
      <c r="Q8" s="598"/>
      <c r="R8" s="600"/>
      <c r="S8" s="600"/>
      <c r="T8" s="600"/>
      <c r="U8" s="600"/>
      <c r="V8" s="600"/>
      <c r="W8" s="600"/>
      <c r="X8" s="600"/>
      <c r="Y8" s="600"/>
      <c r="Z8" s="600"/>
      <c r="AA8" s="600"/>
    </row>
    <row r="9" spans="1:27" ht="13.5" customHeight="1">
      <c r="A9" s="506"/>
      <c r="B9" s="506"/>
      <c r="C9" s="506"/>
      <c r="D9" s="506"/>
      <c r="E9" s="57"/>
      <c r="F9" s="57"/>
      <c r="G9" s="57"/>
      <c r="H9" s="201" t="s">
        <v>431</v>
      </c>
      <c r="I9" s="165"/>
      <c r="P9" s="183"/>
      <c r="Q9" s="598" t="s">
        <v>614</v>
      </c>
      <c r="R9" s="600"/>
      <c r="S9" s="600"/>
      <c r="T9" s="600"/>
      <c r="U9" s="600"/>
      <c r="V9" s="600"/>
      <c r="W9" s="600"/>
      <c r="X9" s="600"/>
      <c r="Y9" s="600"/>
      <c r="Z9" s="600"/>
      <c r="AA9" s="600"/>
    </row>
    <row r="10" spans="1:27" ht="13.5" customHeight="1" thickBot="1">
      <c r="A10" s="506"/>
      <c r="B10" s="209" t="s">
        <v>404</v>
      </c>
      <c r="C10" s="210"/>
      <c r="D10" s="211">
        <v>2020</v>
      </c>
      <c r="E10" s="585" t="s">
        <v>401</v>
      </c>
      <c r="F10" s="585"/>
      <c r="G10" s="585"/>
      <c r="H10" s="212" t="s">
        <v>397</v>
      </c>
      <c r="I10" s="165"/>
      <c r="P10" s="183"/>
      <c r="Q10" s="598"/>
      <c r="R10" s="600"/>
      <c r="S10" s="600"/>
      <c r="T10" s="600"/>
      <c r="U10" s="600"/>
      <c r="V10" s="600"/>
      <c r="W10" s="600"/>
      <c r="X10" s="600"/>
      <c r="Y10" s="600"/>
      <c r="Z10" s="600"/>
      <c r="AA10" s="600"/>
    </row>
    <row r="11" spans="1:27" ht="14.25" thickBot="1">
      <c r="A11" s="506"/>
      <c r="B11" s="509" t="s">
        <v>432</v>
      </c>
      <c r="C11" s="77"/>
      <c r="D11" s="215">
        <v>12345678</v>
      </c>
      <c r="E11" s="359" t="s">
        <v>433</v>
      </c>
      <c r="F11" s="360">
        <v>101</v>
      </c>
      <c r="G11" s="359" t="s">
        <v>433</v>
      </c>
      <c r="H11" s="361">
        <v>901234</v>
      </c>
      <c r="I11" s="165"/>
      <c r="P11" s="183"/>
      <c r="Q11" s="598"/>
      <c r="R11" s="600"/>
      <c r="S11" s="600"/>
      <c r="T11" s="600"/>
      <c r="U11" s="600"/>
      <c r="V11" s="600"/>
      <c r="W11" s="600"/>
      <c r="X11" s="600"/>
      <c r="Y11" s="600"/>
      <c r="Z11" s="600"/>
      <c r="AA11" s="600"/>
    </row>
    <row r="12" spans="1:27" ht="14.25" customHeight="1" thickBot="1">
      <c r="B12" s="509" t="s">
        <v>434</v>
      </c>
      <c r="C12" s="77"/>
      <c r="D12" s="77" t="s">
        <v>435</v>
      </c>
      <c r="E12" s="611" t="s">
        <v>387</v>
      </c>
      <c r="F12" s="611"/>
      <c r="G12" s="611"/>
      <c r="H12" s="508">
        <v>37072</v>
      </c>
      <c r="P12" s="183"/>
      <c r="Q12" s="598" t="s">
        <v>416</v>
      </c>
      <c r="R12" s="599"/>
      <c r="S12" s="599"/>
      <c r="T12" s="599"/>
      <c r="U12" s="599"/>
      <c r="V12" s="599"/>
      <c r="W12" s="599"/>
      <c r="X12" s="599"/>
      <c r="Y12" s="599"/>
      <c r="Z12" s="599"/>
      <c r="AA12" s="599"/>
    </row>
    <row r="13" spans="1:27" ht="14.25" thickBot="1">
      <c r="B13" s="509" t="s">
        <v>276</v>
      </c>
      <c r="C13" s="88"/>
      <c r="D13" s="88" t="s">
        <v>436</v>
      </c>
      <c r="E13" s="57"/>
      <c r="F13" s="57"/>
      <c r="G13" s="57"/>
      <c r="H13" s="201" t="s">
        <v>437</v>
      </c>
      <c r="P13" s="183"/>
      <c r="Q13" s="598"/>
      <c r="R13" s="599"/>
      <c r="S13" s="599"/>
      <c r="T13" s="599"/>
      <c r="U13" s="599"/>
      <c r="V13" s="599"/>
      <c r="W13" s="599"/>
      <c r="X13" s="599"/>
      <c r="Y13" s="599"/>
      <c r="Z13" s="599"/>
      <c r="AA13" s="599"/>
    </row>
    <row r="14" spans="1:27" ht="14.25" thickBot="1">
      <c r="B14" s="509" t="s">
        <v>277</v>
      </c>
      <c r="C14" s="88"/>
      <c r="D14" s="188" t="s">
        <v>438</v>
      </c>
      <c r="E14" s="198"/>
      <c r="F14" s="198"/>
      <c r="G14" s="198"/>
      <c r="H14" s="198"/>
      <c r="P14" s="183"/>
      <c r="Q14" s="598"/>
      <c r="R14" s="599"/>
      <c r="S14" s="599"/>
      <c r="T14" s="599"/>
      <c r="U14" s="599"/>
      <c r="V14" s="599"/>
      <c r="W14" s="599"/>
      <c r="X14" s="599"/>
      <c r="Y14" s="599"/>
      <c r="Z14" s="599"/>
      <c r="AA14" s="599"/>
    </row>
    <row r="15" spans="1:27" ht="13.5" customHeight="1">
      <c r="B15" s="213" t="str">
        <f>"※ 以下、収入（所得）は【"&amp;IF(計算シート!C49=1,計算シート!C47,計算シート!C48)&amp;"年1月1日～12月31日】のものを入力してください。"</f>
        <v>※ 以下、収入（所得）は【2024年1月1日～12月31日】のものを入力してください。</v>
      </c>
      <c r="C15" s="57"/>
      <c r="D15" s="208"/>
      <c r="E15" s="198"/>
      <c r="F15" s="198"/>
      <c r="G15" s="198"/>
      <c r="H15" s="198"/>
      <c r="P15" s="183"/>
      <c r="Q15" s="612" t="s">
        <v>364</v>
      </c>
      <c r="R15" s="613"/>
      <c r="S15" s="613"/>
      <c r="T15" s="613"/>
      <c r="U15" s="613"/>
      <c r="V15" s="613"/>
      <c r="W15" s="613"/>
      <c r="X15" s="613"/>
      <c r="Y15" s="613"/>
      <c r="Z15" s="613"/>
      <c r="AA15" s="613"/>
    </row>
    <row r="16" spans="1:27">
      <c r="B16" s="213" t="str">
        <f>"    扶養等の情報は【"&amp;IF(計算シート!C49=1,計算シート!C47,計算シート!C48)&amp;"年12月31日】現在のものを入力してください。"</f>
        <v xml:space="preserve">    扶養等の情報は【2024年12月31日】現在のものを入力してください。</v>
      </c>
      <c r="C16" s="57"/>
      <c r="D16" s="208"/>
      <c r="E16" s="198"/>
      <c r="F16" s="198"/>
      <c r="G16" s="198"/>
      <c r="H16" s="198"/>
      <c r="P16" s="183"/>
      <c r="Q16" s="612"/>
      <c r="R16" s="613"/>
      <c r="S16" s="613"/>
      <c r="T16" s="613"/>
      <c r="U16" s="613"/>
      <c r="V16" s="613"/>
      <c r="W16" s="613"/>
      <c r="X16" s="613"/>
      <c r="Y16" s="613"/>
      <c r="Z16" s="613"/>
      <c r="AA16" s="613"/>
    </row>
    <row r="17" spans="1:27" ht="7.5" customHeight="1" thickBot="1">
      <c r="A17" s="80"/>
      <c r="B17" s="80"/>
      <c r="C17" s="80"/>
      <c r="D17" s="80"/>
      <c r="E17" s="80"/>
      <c r="P17" s="183"/>
      <c r="Q17" s="612"/>
      <c r="R17" s="613"/>
      <c r="S17" s="613"/>
      <c r="T17" s="613"/>
      <c r="U17" s="613"/>
      <c r="V17" s="613"/>
      <c r="W17" s="613"/>
      <c r="X17" s="613"/>
      <c r="Y17" s="613"/>
      <c r="Z17" s="613"/>
      <c r="AA17" s="613"/>
    </row>
    <row r="18" spans="1:27" s="98" customFormat="1" ht="15.6" customHeight="1" thickTop="1">
      <c r="A18" s="86" t="s">
        <v>439</v>
      </c>
      <c r="B18" s="96"/>
      <c r="C18" s="96"/>
      <c r="D18" s="96"/>
      <c r="E18" s="97"/>
      <c r="G18" s="83" t="s">
        <v>373</v>
      </c>
      <c r="H18" s="189"/>
      <c r="I18" s="97"/>
      <c r="P18" s="184"/>
      <c r="Q18" s="612"/>
      <c r="R18" s="613"/>
      <c r="S18" s="613"/>
      <c r="T18" s="613"/>
      <c r="U18" s="613"/>
      <c r="V18" s="613"/>
      <c r="W18" s="613"/>
      <c r="X18" s="613"/>
      <c r="Y18" s="613"/>
      <c r="Z18" s="613"/>
      <c r="AA18" s="613"/>
    </row>
    <row r="19" spans="1:27" s="98" customFormat="1" ht="12.95" customHeight="1" thickBot="1">
      <c r="A19" s="170" t="s">
        <v>440</v>
      </c>
      <c r="B19" s="148" t="s">
        <v>407</v>
      </c>
      <c r="C19" s="369"/>
      <c r="D19" s="366">
        <f>H12</f>
        <v>37072</v>
      </c>
      <c r="E19" s="102"/>
      <c r="G19" s="191" t="s">
        <v>374</v>
      </c>
      <c r="H19" s="75"/>
      <c r="I19" s="102"/>
      <c r="P19" s="184"/>
      <c r="Q19" s="370" t="s">
        <v>609</v>
      </c>
      <c r="R19" s="203"/>
      <c r="S19" s="203"/>
      <c r="T19" s="203"/>
      <c r="U19" s="203"/>
      <c r="V19" s="203"/>
      <c r="W19" s="203"/>
      <c r="X19" s="203"/>
      <c r="Y19" s="203"/>
      <c r="Z19" s="203"/>
      <c r="AA19" s="203"/>
    </row>
    <row r="20" spans="1:27" s="98" customFormat="1" ht="12.95" customHeight="1" thickBot="1">
      <c r="A20" s="171" t="s">
        <v>441</v>
      </c>
      <c r="B20" s="101" t="s">
        <v>293</v>
      </c>
      <c r="D20" s="58" t="s">
        <v>38</v>
      </c>
      <c r="E20" s="102"/>
      <c r="G20" s="191" t="s">
        <v>375</v>
      </c>
      <c r="H20" s="75"/>
      <c r="I20" s="102"/>
      <c r="P20" s="184"/>
      <c r="Q20" s="265" t="s">
        <v>610</v>
      </c>
      <c r="R20" s="203"/>
      <c r="S20" s="203"/>
      <c r="T20" s="203"/>
      <c r="U20" s="203"/>
      <c r="V20" s="203"/>
      <c r="W20" s="203"/>
      <c r="X20" s="203"/>
      <c r="Y20" s="203"/>
      <c r="Z20" s="203"/>
      <c r="AA20" s="203"/>
    </row>
    <row r="21" spans="1:27" s="98" customFormat="1" ht="12.95" customHeight="1" thickBot="1">
      <c r="A21" s="171" t="s">
        <v>442</v>
      </c>
      <c r="B21" s="98" t="s">
        <v>294</v>
      </c>
      <c r="C21" s="103"/>
      <c r="D21" s="90" t="s">
        <v>266</v>
      </c>
      <c r="E21" s="102"/>
      <c r="G21" s="191" t="s">
        <v>376</v>
      </c>
      <c r="H21" s="75"/>
      <c r="I21" s="102"/>
      <c r="P21" s="184"/>
      <c r="Q21" s="370" t="s">
        <v>611</v>
      </c>
      <c r="R21" s="203"/>
      <c r="S21" s="203"/>
      <c r="T21" s="203"/>
      <c r="U21" s="203"/>
      <c r="V21" s="203"/>
      <c r="W21" s="203"/>
      <c r="X21" s="203"/>
      <c r="Y21" s="203"/>
      <c r="Z21" s="203"/>
      <c r="AA21" s="203"/>
    </row>
    <row r="22" spans="1:27" s="98" customFormat="1" ht="12.95" customHeight="1" thickBot="1">
      <c r="A22" s="171" t="s">
        <v>443</v>
      </c>
      <c r="B22" s="104" t="s">
        <v>295</v>
      </c>
      <c r="C22" s="103"/>
      <c r="D22" s="73" t="s">
        <v>42</v>
      </c>
      <c r="E22" s="102"/>
      <c r="G22" s="192">
        <v>1</v>
      </c>
      <c r="H22" s="193" t="s">
        <v>377</v>
      </c>
      <c r="I22" s="195" t="s">
        <v>444</v>
      </c>
      <c r="P22" s="184"/>
      <c r="Q22" s="370" t="s">
        <v>616</v>
      </c>
      <c r="R22" s="203"/>
      <c r="S22" s="203"/>
      <c r="T22" s="203"/>
      <c r="U22" s="203"/>
      <c r="V22" s="203"/>
      <c r="W22" s="203"/>
      <c r="X22" s="203"/>
      <c r="Y22" s="203"/>
      <c r="Z22" s="203"/>
      <c r="AA22" s="203"/>
    </row>
    <row r="23" spans="1:27" s="98" customFormat="1" ht="12.95" customHeight="1" thickBot="1">
      <c r="A23" s="171" t="s">
        <v>445</v>
      </c>
      <c r="B23" s="105" t="s">
        <v>446</v>
      </c>
      <c r="C23" s="99"/>
      <c r="D23" s="58" t="s">
        <v>40</v>
      </c>
      <c r="E23" s="102"/>
      <c r="G23" s="192">
        <v>2</v>
      </c>
      <c r="H23" s="194" t="s">
        <v>447</v>
      </c>
      <c r="I23" s="195" t="s">
        <v>500</v>
      </c>
      <c r="P23" s="184"/>
      <c r="Q23" s="370" t="s">
        <v>622</v>
      </c>
      <c r="R23" s="203"/>
      <c r="S23" s="203"/>
      <c r="T23" s="203"/>
      <c r="U23" s="203"/>
      <c r="V23" s="203"/>
      <c r="W23" s="203"/>
      <c r="X23" s="203"/>
      <c r="Y23" s="203"/>
      <c r="Z23" s="203"/>
      <c r="AA23" s="203"/>
    </row>
    <row r="24" spans="1:27" s="98" customFormat="1" ht="12.95" customHeight="1" thickBot="1">
      <c r="A24" s="171" t="s">
        <v>448</v>
      </c>
      <c r="B24" s="60" t="s">
        <v>280</v>
      </c>
      <c r="C24" s="99"/>
      <c r="D24" s="73" t="s">
        <v>49</v>
      </c>
      <c r="E24" s="102"/>
      <c r="G24" s="192">
        <v>3</v>
      </c>
      <c r="H24" s="193" t="s">
        <v>449</v>
      </c>
      <c r="I24" s="195" t="s">
        <v>500</v>
      </c>
      <c r="P24" s="184"/>
      <c r="Q24" s="598" t="s">
        <v>930</v>
      </c>
      <c r="R24" s="599"/>
      <c r="S24" s="599"/>
      <c r="T24" s="599"/>
      <c r="U24" s="599"/>
      <c r="V24" s="599"/>
      <c r="W24" s="599"/>
      <c r="X24" s="599"/>
      <c r="Y24" s="599"/>
      <c r="Z24" s="599"/>
      <c r="AA24" s="599"/>
    </row>
    <row r="25" spans="1:27" s="98" customFormat="1" ht="12.95" customHeight="1" thickBot="1">
      <c r="A25" s="171" t="s">
        <v>450</v>
      </c>
      <c r="B25" s="98" t="s">
        <v>281</v>
      </c>
      <c r="D25" s="106">
        <v>0</v>
      </c>
      <c r="E25" s="100" t="s">
        <v>501</v>
      </c>
      <c r="G25" s="192">
        <v>4</v>
      </c>
      <c r="H25" s="193" t="s">
        <v>451</v>
      </c>
      <c r="I25" s="195" t="s">
        <v>502</v>
      </c>
      <c r="P25" s="184"/>
      <c r="Q25" s="598"/>
      <c r="R25" s="599"/>
      <c r="S25" s="599"/>
      <c r="T25" s="599"/>
      <c r="U25" s="599"/>
      <c r="V25" s="599"/>
      <c r="W25" s="599"/>
      <c r="X25" s="599"/>
      <c r="Y25" s="599"/>
      <c r="Z25" s="599"/>
      <c r="AA25" s="599"/>
    </row>
    <row r="26" spans="1:27" s="98" customFormat="1" ht="12.95" customHeight="1" thickBot="1">
      <c r="A26" s="171" t="s">
        <v>452</v>
      </c>
      <c r="B26" s="147" t="s">
        <v>305</v>
      </c>
      <c r="C26" s="99"/>
      <c r="D26" s="73" t="s">
        <v>49</v>
      </c>
      <c r="E26" s="102"/>
      <c r="G26" s="192">
        <v>5</v>
      </c>
      <c r="H26" s="193" t="s">
        <v>453</v>
      </c>
      <c r="I26" s="195" t="s">
        <v>500</v>
      </c>
      <c r="P26" s="184"/>
      <c r="Q26" s="598"/>
      <c r="R26" s="599"/>
      <c r="S26" s="599"/>
      <c r="T26" s="599"/>
      <c r="U26" s="599"/>
      <c r="V26" s="599"/>
      <c r="W26" s="599"/>
      <c r="X26" s="599"/>
      <c r="Y26" s="599"/>
      <c r="Z26" s="599"/>
      <c r="AA26" s="599"/>
    </row>
    <row r="27" spans="1:27" s="98" customFormat="1" ht="12.95" customHeight="1" thickBot="1">
      <c r="A27" s="172" t="s">
        <v>454</v>
      </c>
      <c r="B27" s="81" t="s">
        <v>306</v>
      </c>
      <c r="C27" s="107"/>
      <c r="D27" s="106">
        <v>0</v>
      </c>
      <c r="E27" s="108" t="s">
        <v>501</v>
      </c>
      <c r="G27" s="190"/>
      <c r="H27" s="117"/>
      <c r="I27" s="127"/>
      <c r="P27" s="184"/>
      <c r="Q27" s="598"/>
      <c r="R27" s="599"/>
      <c r="S27" s="599"/>
      <c r="T27" s="599"/>
      <c r="U27" s="599"/>
      <c r="V27" s="599"/>
      <c r="W27" s="599"/>
      <c r="X27" s="599"/>
      <c r="Y27" s="599"/>
      <c r="Z27" s="599"/>
      <c r="AA27" s="599"/>
    </row>
    <row r="28" spans="1:27" s="98" customFormat="1" ht="3" customHeight="1" thickTop="1">
      <c r="P28" s="184"/>
      <c r="Q28" s="274"/>
      <c r="R28" s="186"/>
      <c r="S28" s="186"/>
      <c r="T28" s="186"/>
      <c r="U28" s="186"/>
      <c r="V28" s="186"/>
      <c r="W28" s="186"/>
      <c r="X28" s="186"/>
      <c r="Y28" s="186"/>
      <c r="Z28" s="186"/>
      <c r="AA28" s="186"/>
    </row>
    <row r="29" spans="1:27" s="98" customFormat="1" ht="14.1" customHeight="1" thickBot="1">
      <c r="A29" s="78"/>
      <c r="B29" s="78"/>
      <c r="C29" s="79"/>
      <c r="D29" s="109" t="s">
        <v>38</v>
      </c>
      <c r="E29" s="110"/>
      <c r="F29" s="78"/>
      <c r="G29" s="79"/>
      <c r="H29" s="125" t="s">
        <v>503</v>
      </c>
      <c r="I29" s="111"/>
      <c r="J29" s="112"/>
      <c r="K29" s="407"/>
      <c r="L29" s="407"/>
      <c r="M29" s="407"/>
      <c r="N29" s="407"/>
      <c r="O29" s="407"/>
      <c r="P29" s="184"/>
      <c r="Q29" s="274"/>
      <c r="R29" s="274"/>
      <c r="S29" s="186"/>
      <c r="T29" s="186"/>
      <c r="U29" s="186"/>
      <c r="V29" s="186"/>
      <c r="W29" s="186"/>
      <c r="X29" s="186"/>
      <c r="Y29" s="186"/>
      <c r="Z29" s="186"/>
      <c r="AA29" s="186"/>
    </row>
    <row r="30" spans="1:27" s="98" customFormat="1" ht="15.6" customHeight="1" thickTop="1" thickBot="1">
      <c r="A30" s="83" t="s">
        <v>282</v>
      </c>
      <c r="B30" s="75"/>
      <c r="C30" s="76"/>
      <c r="D30" s="75"/>
      <c r="E30" s="113"/>
      <c r="F30" s="75"/>
      <c r="G30" s="76"/>
      <c r="H30" s="126" t="s">
        <v>502</v>
      </c>
      <c r="I30" s="97"/>
      <c r="J30" s="114"/>
      <c r="K30" s="407"/>
      <c r="L30" s="407"/>
      <c r="M30" s="407"/>
      <c r="N30" s="407"/>
      <c r="O30" s="407"/>
      <c r="P30" s="184"/>
      <c r="Q30" s="403" t="s">
        <v>931</v>
      </c>
      <c r="R30" s="274"/>
      <c r="S30" s="186"/>
      <c r="T30" s="186"/>
      <c r="U30" s="186"/>
      <c r="V30" s="186"/>
      <c r="W30" s="186"/>
      <c r="X30" s="186"/>
      <c r="Y30" s="186"/>
      <c r="Z30" s="186"/>
      <c r="AA30" s="186"/>
    </row>
    <row r="31" spans="1:27" s="98" customFormat="1" ht="12.95" customHeight="1" thickBot="1">
      <c r="A31" s="173" t="s">
        <v>455</v>
      </c>
      <c r="B31" s="148" t="s">
        <v>406</v>
      </c>
      <c r="C31" s="62"/>
      <c r="D31" s="214">
        <v>22037</v>
      </c>
      <c r="E31" s="114"/>
      <c r="F31" s="176" t="s">
        <v>456</v>
      </c>
      <c r="G31" s="76"/>
      <c r="H31" s="214">
        <v>22037</v>
      </c>
      <c r="I31" s="100"/>
      <c r="J31" s="114"/>
      <c r="K31" s="407"/>
      <c r="L31" s="407"/>
      <c r="M31" s="407"/>
      <c r="N31" s="407"/>
      <c r="O31" s="407"/>
      <c r="P31" s="184"/>
      <c r="Q31" s="404" t="s">
        <v>933</v>
      </c>
      <c r="R31" s="274"/>
      <c r="S31" s="186"/>
      <c r="T31" s="186"/>
      <c r="U31" s="186"/>
      <c r="V31" s="186"/>
      <c r="W31" s="186"/>
      <c r="X31" s="186"/>
      <c r="Y31" s="186"/>
      <c r="Z31" s="186"/>
      <c r="AA31" s="186"/>
    </row>
    <row r="32" spans="1:27" s="98" customFormat="1" ht="12.95" customHeight="1" thickBot="1">
      <c r="A32" s="174" t="s">
        <v>457</v>
      </c>
      <c r="B32" s="60" t="s">
        <v>309</v>
      </c>
      <c r="C32" s="62"/>
      <c r="D32" s="58" t="s">
        <v>40</v>
      </c>
      <c r="E32" s="113"/>
      <c r="F32" s="177"/>
      <c r="G32" s="76"/>
      <c r="H32" s="115"/>
      <c r="I32" s="102"/>
      <c r="J32" s="114"/>
      <c r="K32" s="407"/>
      <c r="L32" s="407"/>
      <c r="M32" s="407"/>
      <c r="N32" s="407"/>
      <c r="O32" s="407"/>
      <c r="P32" s="184"/>
      <c r="Q32" s="598" t="s">
        <v>932</v>
      </c>
      <c r="R32" s="600"/>
      <c r="S32" s="600"/>
      <c r="T32" s="600"/>
      <c r="U32" s="600"/>
      <c r="V32" s="600"/>
      <c r="W32" s="600"/>
      <c r="X32" s="600"/>
      <c r="Y32" s="600"/>
      <c r="Z32" s="600"/>
      <c r="AA32" s="600"/>
    </row>
    <row r="33" spans="1:27" s="98" customFormat="1" ht="12.95" customHeight="1" thickBot="1">
      <c r="A33" s="174" t="s">
        <v>458</v>
      </c>
      <c r="B33" s="60" t="s">
        <v>315</v>
      </c>
      <c r="C33" s="62"/>
      <c r="D33" s="58" t="s">
        <v>40</v>
      </c>
      <c r="E33" s="113"/>
      <c r="F33" s="177"/>
      <c r="G33" s="76"/>
      <c r="H33" s="115"/>
      <c r="I33" s="102"/>
      <c r="J33" s="114"/>
      <c r="K33" s="407"/>
      <c r="L33" s="407"/>
      <c r="M33" s="407"/>
      <c r="N33" s="407"/>
      <c r="O33" s="407"/>
      <c r="P33" s="184"/>
      <c r="Q33" s="598"/>
      <c r="R33" s="600"/>
      <c r="S33" s="600"/>
      <c r="T33" s="600"/>
      <c r="U33" s="600"/>
      <c r="V33" s="600"/>
      <c r="W33" s="600"/>
      <c r="X33" s="600"/>
      <c r="Y33" s="600"/>
      <c r="Z33" s="600"/>
      <c r="AA33" s="600"/>
    </row>
    <row r="34" spans="1:27" s="98" customFormat="1" ht="12.95" customHeight="1" thickBot="1">
      <c r="A34" s="174" t="s">
        <v>459</v>
      </c>
      <c r="B34" s="61" t="s">
        <v>312</v>
      </c>
      <c r="C34" s="63"/>
      <c r="D34" s="58" t="s">
        <v>40</v>
      </c>
      <c r="E34" s="113"/>
      <c r="F34" s="177"/>
      <c r="G34" s="76"/>
      <c r="H34" s="75"/>
      <c r="I34" s="102"/>
      <c r="J34" s="114"/>
      <c r="K34" s="407"/>
      <c r="L34" s="407"/>
      <c r="M34" s="407"/>
      <c r="N34" s="407"/>
      <c r="O34" s="407"/>
      <c r="P34" s="184"/>
      <c r="Q34" s="598"/>
      <c r="R34" s="600"/>
      <c r="S34" s="600"/>
      <c r="T34" s="600"/>
      <c r="U34" s="600"/>
      <c r="V34" s="600"/>
      <c r="W34" s="600"/>
      <c r="X34" s="600"/>
      <c r="Y34" s="600"/>
      <c r="Z34" s="600"/>
      <c r="AA34" s="600"/>
    </row>
    <row r="35" spans="1:27" s="98" customFormat="1" ht="12.95" customHeight="1" thickBot="1">
      <c r="A35" s="174" t="s">
        <v>460</v>
      </c>
      <c r="B35" s="60" t="s">
        <v>294</v>
      </c>
      <c r="C35" s="62"/>
      <c r="D35" s="59" t="s">
        <v>44</v>
      </c>
      <c r="E35" s="113"/>
      <c r="F35" s="178" t="s">
        <v>461</v>
      </c>
      <c r="G35" s="76"/>
      <c r="H35" s="59" t="s">
        <v>44</v>
      </c>
      <c r="I35" s="102"/>
      <c r="J35" s="114"/>
      <c r="K35" s="407"/>
      <c r="L35" s="407"/>
      <c r="M35" s="407"/>
      <c r="N35" s="407"/>
      <c r="O35" s="407"/>
      <c r="P35" s="184"/>
      <c r="Q35" s="274" t="s">
        <v>368</v>
      </c>
      <c r="R35" s="274"/>
      <c r="S35" s="274"/>
      <c r="T35" s="274"/>
      <c r="U35" s="274"/>
      <c r="V35" s="274"/>
      <c r="W35" s="274"/>
      <c r="X35" s="274"/>
      <c r="Y35" s="274"/>
      <c r="Z35" s="274"/>
      <c r="AA35" s="274"/>
    </row>
    <row r="36" spans="1:27" s="98" customFormat="1" ht="12.95" customHeight="1" thickBot="1">
      <c r="A36" s="175" t="s">
        <v>462</v>
      </c>
      <c r="B36" s="81" t="s">
        <v>296</v>
      </c>
      <c r="C36" s="82"/>
      <c r="D36" s="59" t="s">
        <v>46</v>
      </c>
      <c r="E36" s="116"/>
      <c r="F36" s="117"/>
      <c r="G36" s="122"/>
      <c r="H36" s="128"/>
      <c r="I36" s="127"/>
      <c r="J36" s="114"/>
      <c r="K36" s="407"/>
      <c r="L36" s="407"/>
      <c r="M36" s="407"/>
      <c r="N36" s="407"/>
      <c r="O36" s="407"/>
      <c r="P36" s="184"/>
      <c r="Q36" s="274" t="s">
        <v>618</v>
      </c>
      <c r="R36" s="274"/>
      <c r="S36" s="274"/>
      <c r="T36" s="274"/>
      <c r="U36" s="274"/>
      <c r="V36" s="274"/>
      <c r="W36" s="274"/>
      <c r="X36" s="274"/>
      <c r="Y36" s="274"/>
      <c r="Z36" s="274"/>
      <c r="AA36" s="274"/>
    </row>
    <row r="37" spans="1:27" s="146" customFormat="1" ht="11.25" customHeight="1" thickTop="1" thickBot="1">
      <c r="A37" s="140" t="s">
        <v>504</v>
      </c>
      <c r="B37" s="141"/>
      <c r="C37" s="142"/>
      <c r="D37" s="141"/>
      <c r="E37" s="143"/>
      <c r="F37" s="141"/>
      <c r="G37" s="142"/>
      <c r="H37" s="144"/>
      <c r="I37" s="141"/>
      <c r="J37" s="145"/>
      <c r="K37" s="442"/>
      <c r="L37" s="442"/>
      <c r="M37" s="442"/>
      <c r="N37" s="442"/>
      <c r="O37" s="442"/>
      <c r="P37" s="185"/>
      <c r="Q37" s="274"/>
      <c r="R37" s="274"/>
      <c r="S37" s="274"/>
      <c r="T37" s="274"/>
      <c r="U37" s="274"/>
      <c r="V37" s="274"/>
      <c r="W37" s="274"/>
      <c r="X37" s="274"/>
      <c r="Y37" s="274"/>
      <c r="Z37" s="274"/>
      <c r="AA37" s="274"/>
    </row>
    <row r="38" spans="1:27" s="98" customFormat="1" ht="15.6" customHeight="1" thickTop="1" thickBot="1">
      <c r="A38" s="83" t="s">
        <v>283</v>
      </c>
      <c r="B38" s="75"/>
      <c r="C38" s="76"/>
      <c r="D38" s="75"/>
      <c r="E38" s="113"/>
      <c r="F38" s="75"/>
      <c r="G38" s="76"/>
      <c r="H38" s="126" t="s">
        <v>502</v>
      </c>
      <c r="I38" s="97"/>
      <c r="J38" s="114"/>
      <c r="K38" s="407"/>
      <c r="L38" s="407"/>
      <c r="M38" s="407"/>
      <c r="N38" s="407"/>
      <c r="O38" s="407"/>
      <c r="P38" s="184"/>
      <c r="Q38" s="598" t="s">
        <v>934</v>
      </c>
      <c r="R38" s="600"/>
      <c r="S38" s="600"/>
      <c r="T38" s="600"/>
      <c r="U38" s="600"/>
      <c r="V38" s="600"/>
      <c r="W38" s="600"/>
      <c r="X38" s="600"/>
      <c r="Y38" s="600"/>
      <c r="Z38" s="600"/>
      <c r="AA38" s="600"/>
    </row>
    <row r="39" spans="1:27" s="98" customFormat="1" ht="12.95" customHeight="1" thickBot="1">
      <c r="A39" s="173" t="s">
        <v>463</v>
      </c>
      <c r="B39" s="60" t="s">
        <v>272</v>
      </c>
      <c r="C39" s="62"/>
      <c r="D39" s="73" t="s">
        <v>365</v>
      </c>
      <c r="E39" s="113"/>
      <c r="F39" s="176" t="s">
        <v>464</v>
      </c>
      <c r="G39" s="76"/>
      <c r="H39" s="73" t="s">
        <v>49</v>
      </c>
      <c r="I39" s="102"/>
      <c r="J39" s="114"/>
      <c r="K39" s="407"/>
      <c r="L39" s="407"/>
      <c r="M39" s="407"/>
      <c r="N39" s="407"/>
      <c r="O39" s="407"/>
      <c r="P39" s="184"/>
      <c r="Q39" s="598"/>
      <c r="R39" s="600"/>
      <c r="S39" s="600"/>
      <c r="T39" s="600"/>
      <c r="U39" s="600"/>
      <c r="V39" s="600"/>
      <c r="W39" s="600"/>
      <c r="X39" s="600"/>
      <c r="Y39" s="600"/>
      <c r="Z39" s="600"/>
      <c r="AA39" s="600"/>
    </row>
    <row r="40" spans="1:27" s="98" customFormat="1" ht="12.95" customHeight="1" thickBot="1">
      <c r="A40" s="174" t="s">
        <v>465</v>
      </c>
      <c r="B40" s="60" t="s">
        <v>274</v>
      </c>
      <c r="C40" s="62"/>
      <c r="D40" s="106">
        <v>42000</v>
      </c>
      <c r="E40" s="114" t="s">
        <v>505</v>
      </c>
      <c r="F40" s="178" t="s">
        <v>466</v>
      </c>
      <c r="G40" s="76"/>
      <c r="H40" s="106">
        <v>2700000</v>
      </c>
      <c r="I40" s="100" t="s">
        <v>501</v>
      </c>
      <c r="J40" s="114"/>
      <c r="K40" s="407"/>
      <c r="L40" s="407"/>
      <c r="M40" s="407"/>
      <c r="N40" s="407"/>
      <c r="O40" s="407"/>
      <c r="P40" s="184"/>
      <c r="Q40" s="598"/>
      <c r="R40" s="600"/>
      <c r="S40" s="600"/>
      <c r="T40" s="600"/>
      <c r="U40" s="600"/>
      <c r="V40" s="600"/>
      <c r="W40" s="600"/>
      <c r="X40" s="600"/>
      <c r="Y40" s="600"/>
      <c r="Z40" s="600"/>
      <c r="AA40" s="600"/>
    </row>
    <row r="41" spans="1:27" s="98" customFormat="1" ht="12.95" customHeight="1" thickBot="1">
      <c r="A41" s="174" t="s">
        <v>467</v>
      </c>
      <c r="B41" s="60" t="s">
        <v>273</v>
      </c>
      <c r="C41" s="62"/>
      <c r="D41" s="73" t="s">
        <v>365</v>
      </c>
      <c r="E41" s="113"/>
      <c r="F41" s="178" t="s">
        <v>468</v>
      </c>
      <c r="G41" s="76"/>
      <c r="H41" s="73" t="s">
        <v>49</v>
      </c>
      <c r="I41" s="102"/>
      <c r="J41" s="114"/>
      <c r="K41" s="407"/>
      <c r="L41" s="407"/>
      <c r="M41" s="407"/>
      <c r="N41" s="407"/>
      <c r="O41" s="407"/>
      <c r="P41" s="184"/>
      <c r="Q41" s="598"/>
      <c r="R41" s="600"/>
      <c r="S41" s="600"/>
      <c r="T41" s="600"/>
      <c r="U41" s="600"/>
      <c r="V41" s="600"/>
      <c r="W41" s="600"/>
      <c r="X41" s="600"/>
      <c r="Y41" s="600"/>
      <c r="Z41" s="600"/>
      <c r="AA41" s="600"/>
    </row>
    <row r="42" spans="1:27" s="98" customFormat="1" ht="12.95" customHeight="1" thickBot="1">
      <c r="A42" s="174" t="s">
        <v>469</v>
      </c>
      <c r="B42" s="60" t="s">
        <v>275</v>
      </c>
      <c r="C42" s="62"/>
      <c r="D42" s="106">
        <v>0</v>
      </c>
      <c r="E42" s="114" t="s">
        <v>505</v>
      </c>
      <c r="F42" s="178" t="s">
        <v>470</v>
      </c>
      <c r="G42" s="76"/>
      <c r="H42" s="106">
        <v>0</v>
      </c>
      <c r="I42" s="120" t="s">
        <v>501</v>
      </c>
      <c r="J42" s="114"/>
      <c r="K42" s="407"/>
      <c r="L42" s="407"/>
      <c r="M42" s="407"/>
      <c r="N42" s="407"/>
      <c r="O42" s="407"/>
      <c r="P42" s="184"/>
      <c r="Q42" s="598"/>
      <c r="R42" s="600"/>
      <c r="S42" s="600"/>
      <c r="T42" s="600"/>
      <c r="U42" s="600"/>
      <c r="V42" s="600"/>
      <c r="W42" s="600"/>
      <c r="X42" s="600"/>
      <c r="Y42" s="600"/>
      <c r="Z42" s="600"/>
      <c r="AA42" s="600"/>
    </row>
    <row r="43" spans="1:27" s="98" customFormat="1" ht="12.95" customHeight="1" thickBot="1">
      <c r="A43" s="174" t="s">
        <v>471</v>
      </c>
      <c r="B43" s="148" t="s">
        <v>303</v>
      </c>
      <c r="C43" s="62"/>
      <c r="D43" s="73" t="s">
        <v>365</v>
      </c>
      <c r="E43" s="113"/>
      <c r="F43" s="178" t="s">
        <v>472</v>
      </c>
      <c r="G43" s="76"/>
      <c r="H43" s="73" t="s">
        <v>49</v>
      </c>
      <c r="I43" s="121"/>
      <c r="J43" s="114"/>
      <c r="K43" s="407"/>
      <c r="L43" s="407"/>
      <c r="M43" s="407"/>
      <c r="N43" s="407"/>
      <c r="O43" s="407"/>
      <c r="P43" s="184"/>
      <c r="Q43" s="598"/>
      <c r="R43" s="600"/>
      <c r="S43" s="600"/>
      <c r="T43" s="600"/>
      <c r="U43" s="600"/>
      <c r="V43" s="600"/>
      <c r="W43" s="600"/>
      <c r="X43" s="600"/>
      <c r="Y43" s="600"/>
      <c r="Z43" s="600"/>
      <c r="AA43" s="600"/>
    </row>
    <row r="44" spans="1:27" s="98" customFormat="1" ht="12.95" customHeight="1" thickBot="1">
      <c r="A44" s="175" t="s">
        <v>473</v>
      </c>
      <c r="B44" s="85" t="s">
        <v>304</v>
      </c>
      <c r="C44" s="69"/>
      <c r="D44" s="106">
        <v>3500</v>
      </c>
      <c r="E44" s="116" t="s">
        <v>505</v>
      </c>
      <c r="F44" s="180" t="s">
        <v>474</v>
      </c>
      <c r="G44" s="118"/>
      <c r="H44" s="106">
        <v>0</v>
      </c>
      <c r="I44" s="120" t="s">
        <v>501</v>
      </c>
      <c r="J44" s="114"/>
      <c r="K44" s="407"/>
      <c r="L44" s="407"/>
      <c r="M44" s="407"/>
      <c r="N44" s="407"/>
      <c r="O44" s="407"/>
      <c r="P44" s="184"/>
      <c r="Q44" s="598"/>
      <c r="R44" s="600"/>
      <c r="S44" s="600"/>
      <c r="T44" s="600"/>
      <c r="U44" s="600"/>
      <c r="V44" s="600"/>
      <c r="W44" s="600"/>
      <c r="X44" s="600"/>
      <c r="Y44" s="600"/>
      <c r="Z44" s="600"/>
      <c r="AA44" s="600"/>
    </row>
    <row r="45" spans="1:27" s="98" customFormat="1" ht="6" customHeight="1" thickTop="1" thickBot="1">
      <c r="A45" s="78"/>
      <c r="B45" s="78"/>
      <c r="C45" s="84"/>
      <c r="D45" s="78"/>
      <c r="E45" s="119"/>
      <c r="F45" s="78"/>
      <c r="G45" s="84"/>
      <c r="H45" s="78"/>
      <c r="I45" s="123"/>
      <c r="J45" s="114"/>
      <c r="K45" s="407"/>
      <c r="L45" s="407"/>
      <c r="M45" s="407"/>
      <c r="N45" s="407"/>
      <c r="O45" s="407"/>
      <c r="P45" s="184"/>
      <c r="Q45" s="598"/>
      <c r="R45" s="600"/>
      <c r="S45" s="600"/>
      <c r="T45" s="600"/>
      <c r="U45" s="600"/>
      <c r="V45" s="600"/>
      <c r="W45" s="600"/>
      <c r="X45" s="600"/>
      <c r="Y45" s="600"/>
      <c r="Z45" s="600"/>
      <c r="AA45" s="600"/>
    </row>
    <row r="46" spans="1:27" s="98" customFormat="1" ht="15.6" customHeight="1" thickTop="1" thickBot="1">
      <c r="A46" s="86" t="s">
        <v>311</v>
      </c>
      <c r="B46" s="75"/>
      <c r="C46" s="76"/>
      <c r="D46" s="75"/>
      <c r="E46" s="113"/>
      <c r="F46" s="75"/>
      <c r="G46" s="76"/>
      <c r="H46" s="126" t="s">
        <v>502</v>
      </c>
      <c r="I46" s="97"/>
      <c r="J46" s="114"/>
      <c r="K46" s="407"/>
      <c r="L46" s="407"/>
      <c r="M46" s="407"/>
      <c r="N46" s="407"/>
      <c r="O46" s="407"/>
      <c r="P46" s="184"/>
      <c r="Q46" s="598"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2025年１月分の報告省令レート（ただし、米ドルと日本円間のレートについては同年１月１日時点の最新の為替レート）を用いてください。</v>
      </c>
      <c r="R46" s="601"/>
      <c r="S46" s="601"/>
      <c r="T46" s="601"/>
      <c r="U46" s="601"/>
      <c r="V46" s="601"/>
      <c r="W46" s="601"/>
      <c r="X46" s="601"/>
      <c r="Y46" s="601"/>
      <c r="Z46" s="601"/>
      <c r="AA46" s="601"/>
    </row>
    <row r="47" spans="1:27" s="98" customFormat="1" ht="12.95" customHeight="1" thickBot="1">
      <c r="A47" s="174" t="s">
        <v>475</v>
      </c>
      <c r="B47" s="60" t="s">
        <v>0</v>
      </c>
      <c r="C47" s="62"/>
      <c r="D47" s="58">
        <v>0</v>
      </c>
      <c r="E47" s="114" t="s">
        <v>48</v>
      </c>
      <c r="F47" s="176" t="s">
        <v>476</v>
      </c>
      <c r="G47" s="76"/>
      <c r="H47" s="58">
        <v>2</v>
      </c>
      <c r="I47" s="100" t="s">
        <v>48</v>
      </c>
      <c r="J47" s="114"/>
      <c r="K47" s="407"/>
      <c r="L47" s="407"/>
      <c r="M47" s="407"/>
      <c r="N47" s="407"/>
      <c r="O47" s="407"/>
      <c r="P47" s="184"/>
      <c r="Q47" s="602"/>
      <c r="R47" s="601"/>
      <c r="S47" s="601"/>
      <c r="T47" s="601"/>
      <c r="U47" s="601"/>
      <c r="V47" s="601"/>
      <c r="W47" s="601"/>
      <c r="X47" s="601"/>
      <c r="Y47" s="601"/>
      <c r="Z47" s="601"/>
      <c r="AA47" s="601"/>
    </row>
    <row r="48" spans="1:27" s="98" customFormat="1" ht="12.95" customHeight="1" thickBot="1">
      <c r="A48" s="174" t="s">
        <v>477</v>
      </c>
      <c r="B48" s="60" t="s">
        <v>1</v>
      </c>
      <c r="C48" s="62"/>
      <c r="D48" s="58">
        <v>0</v>
      </c>
      <c r="E48" s="114" t="s">
        <v>48</v>
      </c>
      <c r="F48" s="178" t="s">
        <v>478</v>
      </c>
      <c r="G48" s="76"/>
      <c r="H48" s="58">
        <v>0</v>
      </c>
      <c r="I48" s="100" t="s">
        <v>48</v>
      </c>
      <c r="J48" s="114"/>
      <c r="K48" s="407"/>
      <c r="L48" s="407"/>
      <c r="M48" s="407"/>
      <c r="N48" s="407"/>
      <c r="O48" s="407"/>
      <c r="P48" s="184"/>
      <c r="Q48" s="602"/>
      <c r="R48" s="601"/>
      <c r="S48" s="601"/>
      <c r="T48" s="601"/>
      <c r="U48" s="601"/>
      <c r="V48" s="601"/>
      <c r="W48" s="601"/>
      <c r="X48" s="601"/>
      <c r="Y48" s="601"/>
      <c r="Z48" s="601"/>
      <c r="AA48" s="601"/>
    </row>
    <row r="49" spans="1:27" s="98" customFormat="1" ht="12.95" customHeight="1" thickBot="1">
      <c r="A49" s="174" t="s">
        <v>479</v>
      </c>
      <c r="B49" s="60" t="s">
        <v>2</v>
      </c>
      <c r="C49" s="62"/>
      <c r="D49" s="58">
        <v>1</v>
      </c>
      <c r="E49" s="114" t="s">
        <v>48</v>
      </c>
      <c r="F49" s="178" t="s">
        <v>480</v>
      </c>
      <c r="G49" s="76"/>
      <c r="H49" s="58">
        <v>0</v>
      </c>
      <c r="I49" s="100" t="s">
        <v>48</v>
      </c>
      <c r="J49" s="114"/>
      <c r="K49" s="407"/>
      <c r="L49" s="407"/>
      <c r="M49" s="407"/>
      <c r="N49" s="407"/>
      <c r="O49" s="407"/>
      <c r="P49" s="184"/>
      <c r="Q49" s="602"/>
      <c r="R49" s="601"/>
      <c r="S49" s="601"/>
      <c r="T49" s="601"/>
      <c r="U49" s="601"/>
      <c r="V49" s="601"/>
      <c r="W49" s="601"/>
      <c r="X49" s="601"/>
      <c r="Y49" s="601"/>
      <c r="Z49" s="601"/>
      <c r="AA49" s="601"/>
    </row>
    <row r="50" spans="1:27" s="98" customFormat="1" ht="12.95" customHeight="1" thickBot="1">
      <c r="A50" s="174" t="s">
        <v>481</v>
      </c>
      <c r="B50" s="60" t="s">
        <v>3</v>
      </c>
      <c r="C50" s="62"/>
      <c r="D50" s="58">
        <v>0</v>
      </c>
      <c r="E50" s="114" t="s">
        <v>48</v>
      </c>
      <c r="F50" s="178" t="s">
        <v>482</v>
      </c>
      <c r="G50" s="76"/>
      <c r="H50" s="58">
        <v>0</v>
      </c>
      <c r="I50" s="100" t="s">
        <v>48</v>
      </c>
      <c r="J50" s="114"/>
      <c r="K50" s="407"/>
      <c r="L50" s="407"/>
      <c r="M50" s="407"/>
      <c r="N50" s="407"/>
      <c r="O50" s="407"/>
      <c r="P50" s="184"/>
      <c r="Q50" s="598" t="s">
        <v>619</v>
      </c>
      <c r="R50" s="600"/>
      <c r="S50" s="600"/>
      <c r="T50" s="600"/>
      <c r="U50" s="600"/>
      <c r="V50" s="600"/>
      <c r="W50" s="600"/>
      <c r="X50" s="600"/>
      <c r="Y50" s="600"/>
      <c r="Z50" s="600"/>
      <c r="AA50" s="600"/>
    </row>
    <row r="51" spans="1:27" s="98" customFormat="1" ht="12.95" customHeight="1" thickBot="1">
      <c r="A51" s="174" t="s">
        <v>483</v>
      </c>
      <c r="B51" s="60" t="s">
        <v>4</v>
      </c>
      <c r="C51" s="62"/>
      <c r="D51" s="58">
        <v>0</v>
      </c>
      <c r="E51" s="114" t="s">
        <v>48</v>
      </c>
      <c r="F51" s="178" t="s">
        <v>484</v>
      </c>
      <c r="G51" s="76"/>
      <c r="H51" s="58">
        <v>0</v>
      </c>
      <c r="I51" s="100" t="s">
        <v>48</v>
      </c>
      <c r="J51" s="114"/>
      <c r="K51" s="407"/>
      <c r="L51" s="407"/>
      <c r="M51" s="407"/>
      <c r="N51" s="407"/>
      <c r="O51" s="407"/>
      <c r="P51" s="184"/>
      <c r="Q51" s="598"/>
      <c r="R51" s="600"/>
      <c r="S51" s="600"/>
      <c r="T51" s="600"/>
      <c r="U51" s="600"/>
      <c r="V51" s="600"/>
      <c r="W51" s="600"/>
      <c r="X51" s="600"/>
      <c r="Y51" s="600"/>
      <c r="Z51" s="600"/>
      <c r="AA51" s="600"/>
    </row>
    <row r="52" spans="1:27" s="98" customFormat="1" ht="12.95" customHeight="1" thickBot="1">
      <c r="A52" s="174" t="s">
        <v>485</v>
      </c>
      <c r="B52" s="60" t="s">
        <v>5</v>
      </c>
      <c r="C52" s="62"/>
      <c r="D52" s="58">
        <v>0</v>
      </c>
      <c r="E52" s="114" t="s">
        <v>48</v>
      </c>
      <c r="F52" s="178" t="s">
        <v>486</v>
      </c>
      <c r="G52" s="76"/>
      <c r="H52" s="58">
        <v>0</v>
      </c>
      <c r="I52" s="100" t="s">
        <v>48</v>
      </c>
      <c r="J52" s="114"/>
      <c r="K52" s="407"/>
      <c r="L52" s="407"/>
      <c r="M52" s="407"/>
      <c r="N52" s="407"/>
      <c r="O52" s="407"/>
      <c r="P52" s="184"/>
      <c r="Q52" s="598"/>
      <c r="R52" s="600"/>
      <c r="S52" s="600"/>
      <c r="T52" s="600"/>
      <c r="U52" s="600"/>
      <c r="V52" s="600"/>
      <c r="W52" s="600"/>
      <c r="X52" s="600"/>
      <c r="Y52" s="600"/>
      <c r="Z52" s="600"/>
      <c r="AA52" s="600"/>
    </row>
    <row r="53" spans="1:27" s="98" customFormat="1" ht="12.95" customHeight="1" thickBot="1">
      <c r="A53" s="174" t="s">
        <v>487</v>
      </c>
      <c r="B53" s="60" t="s">
        <v>299</v>
      </c>
      <c r="C53" s="62"/>
      <c r="D53" s="58">
        <v>0</v>
      </c>
      <c r="E53" s="114" t="s">
        <v>48</v>
      </c>
      <c r="F53" s="178" t="s">
        <v>488</v>
      </c>
      <c r="G53" s="76"/>
      <c r="H53" s="58">
        <v>0</v>
      </c>
      <c r="I53" s="100" t="s">
        <v>48</v>
      </c>
      <c r="J53" s="114"/>
      <c r="K53" s="407"/>
      <c r="L53" s="407"/>
      <c r="M53" s="407"/>
      <c r="N53" s="407"/>
      <c r="O53" s="407"/>
      <c r="P53" s="184"/>
      <c r="Q53" s="598" t="s">
        <v>394</v>
      </c>
      <c r="R53" s="600"/>
      <c r="S53" s="600"/>
      <c r="T53" s="600"/>
      <c r="U53" s="600"/>
      <c r="V53" s="600"/>
      <c r="W53" s="600"/>
      <c r="X53" s="600"/>
      <c r="Y53" s="600"/>
      <c r="Z53" s="600"/>
      <c r="AA53" s="600"/>
    </row>
    <row r="54" spans="1:27" s="98" customFormat="1" ht="12.95" customHeight="1" thickBot="1">
      <c r="A54" s="174" t="s">
        <v>489</v>
      </c>
      <c r="B54" s="505" t="s">
        <v>300</v>
      </c>
      <c r="C54" s="64"/>
      <c r="D54" s="58">
        <v>0</v>
      </c>
      <c r="E54" s="114" t="s">
        <v>48</v>
      </c>
      <c r="F54" s="178" t="s">
        <v>490</v>
      </c>
      <c r="G54" s="76"/>
      <c r="H54" s="58">
        <v>0</v>
      </c>
      <c r="I54" s="100" t="s">
        <v>48</v>
      </c>
      <c r="J54" s="114"/>
      <c r="K54" s="407"/>
      <c r="L54" s="407"/>
      <c r="M54" s="407"/>
      <c r="N54" s="407"/>
      <c r="O54" s="407"/>
      <c r="P54" s="184"/>
      <c r="Q54" s="598"/>
      <c r="R54" s="600"/>
      <c r="S54" s="600"/>
      <c r="T54" s="600"/>
      <c r="U54" s="600"/>
      <c r="V54" s="600"/>
      <c r="W54" s="600"/>
      <c r="X54" s="600"/>
      <c r="Y54" s="600"/>
      <c r="Z54" s="600"/>
      <c r="AA54" s="600"/>
    </row>
    <row r="55" spans="1:27" s="98" customFormat="1" ht="12.95" customHeight="1" thickBot="1">
      <c r="A55" s="175" t="s">
        <v>491</v>
      </c>
      <c r="B55" s="124" t="s">
        <v>301</v>
      </c>
      <c r="C55" s="82"/>
      <c r="D55" s="58">
        <v>0</v>
      </c>
      <c r="E55" s="116" t="s">
        <v>48</v>
      </c>
      <c r="F55" s="181" t="s">
        <v>492</v>
      </c>
      <c r="G55" s="118"/>
      <c r="H55" s="58">
        <v>0</v>
      </c>
      <c r="I55" s="108" t="s">
        <v>48</v>
      </c>
      <c r="J55" s="114"/>
      <c r="K55" s="407"/>
      <c r="L55" s="407"/>
      <c r="M55" s="407"/>
      <c r="N55" s="407"/>
      <c r="O55" s="407"/>
      <c r="P55" s="184"/>
      <c r="Q55" s="598"/>
      <c r="R55" s="600"/>
      <c r="S55" s="600"/>
      <c r="T55" s="600"/>
      <c r="U55" s="600"/>
      <c r="V55" s="600"/>
      <c r="W55" s="600"/>
      <c r="X55" s="600"/>
      <c r="Y55" s="600"/>
      <c r="Z55" s="600"/>
      <c r="AA55" s="600"/>
    </row>
    <row r="56" spans="1:27" ht="6" customHeight="1" thickTop="1">
      <c r="C56" s="65"/>
      <c r="D56" s="66"/>
      <c r="E56" s="67"/>
      <c r="G56" s="65"/>
      <c r="H56" s="68"/>
      <c r="I56" s="68"/>
      <c r="J56" s="67"/>
      <c r="K56" s="57"/>
      <c r="L56" s="57"/>
      <c r="M56" s="57"/>
      <c r="N56" s="57"/>
      <c r="O56" s="57"/>
      <c r="P56" s="183"/>
      <c r="Q56" s="186"/>
      <c r="R56" s="186"/>
      <c r="S56" s="186"/>
      <c r="T56" s="186"/>
      <c r="U56" s="186"/>
      <c r="V56" s="186"/>
      <c r="W56" s="186"/>
      <c r="X56" s="186"/>
      <c r="Y56" s="186"/>
      <c r="Z56" s="186"/>
      <c r="AA56" s="186"/>
    </row>
    <row r="57" spans="1:27" ht="6.75" customHeight="1">
      <c r="P57" s="183"/>
      <c r="Q57" s="186"/>
      <c r="R57" s="186"/>
      <c r="S57" s="186"/>
      <c r="T57" s="186"/>
      <c r="U57" s="186"/>
      <c r="V57" s="186"/>
      <c r="W57" s="186"/>
      <c r="X57" s="186"/>
      <c r="Y57" s="186"/>
      <c r="Z57" s="186"/>
      <c r="AA57" s="186"/>
    </row>
    <row r="58" spans="1:27">
      <c r="B58" t="s">
        <v>307</v>
      </c>
      <c r="P58" s="183"/>
      <c r="Q58" s="186" t="s">
        <v>613</v>
      </c>
      <c r="R58" s="186"/>
      <c r="S58" s="186"/>
      <c r="T58" s="186"/>
      <c r="U58" s="186"/>
      <c r="V58" s="186"/>
      <c r="W58" s="186"/>
      <c r="X58" s="186"/>
      <c r="Y58" s="186"/>
      <c r="Z58" s="186"/>
      <c r="AA58" s="186"/>
    </row>
    <row r="59" spans="1:27" ht="13.5" customHeight="1">
      <c r="B59" s="94" t="str">
        <f>"１　国外に居住している全ての"&amp;IF(計算シート!C67=0,"生計維持者","本人及び配偶者")&amp;"の情報を入力したうえで印刷し、収入等の証明書類（和訳付）を添付してください。扶養親族がいる"</f>
        <v>１　国外に居住している全ての本人及び配偶者の情報を入力したうえで印刷し、収入等の証明書類（和訳付）を添付してください。扶養親族がいる</v>
      </c>
      <c r="P59" s="183"/>
      <c r="Q59" s="598" t="s">
        <v>624</v>
      </c>
      <c r="R59" s="599"/>
      <c r="S59" s="599"/>
      <c r="T59" s="599"/>
      <c r="U59" s="599"/>
      <c r="V59" s="599"/>
      <c r="W59" s="599"/>
      <c r="X59" s="599"/>
      <c r="Y59" s="599"/>
      <c r="Z59" s="599"/>
      <c r="AA59" s="599"/>
    </row>
    <row r="60" spans="1:27" ht="13.5" customHeight="1">
      <c r="B60" s="95" t="str">
        <f>"　場合、"&amp;IF(計算シート!C67=0,"生計維持","扶養")&amp;"者との関係を明らかにする書類も必要です。国内に居住している"&amp;IF(計算シート!C67=0,"生計維持者","本人又は配偶者")&amp;"については、マイナンバーを提出してください。"</f>
        <v>　場合、扶養者との関係を明らかにする書類も必要です。国内に居住している本人又は配偶者については、マイナンバーを提出してください。</v>
      </c>
      <c r="P60" s="183"/>
      <c r="Q60" s="598"/>
      <c r="R60" s="599"/>
      <c r="S60" s="599"/>
      <c r="T60" s="599"/>
      <c r="U60" s="599"/>
      <c r="V60" s="599"/>
      <c r="W60" s="599"/>
      <c r="X60" s="599"/>
      <c r="Y60" s="599"/>
      <c r="Z60" s="599"/>
      <c r="AA60" s="599"/>
    </row>
    <row r="61" spans="1:27">
      <c r="B61" s="9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P61" s="183"/>
      <c r="Q61" s="598"/>
      <c r="R61" s="599"/>
      <c r="S61" s="599"/>
      <c r="T61" s="599"/>
      <c r="U61" s="599"/>
      <c r="V61" s="599"/>
      <c r="W61" s="599"/>
      <c r="X61" s="599"/>
      <c r="Y61" s="599"/>
      <c r="Z61" s="599"/>
      <c r="AA61" s="599"/>
    </row>
    <row r="62" spans="1:27" ht="13.5" customHeight="1">
      <c r="B62"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P62" s="183"/>
      <c r="Q62" s="598"/>
      <c r="R62" s="599"/>
      <c r="S62" s="599"/>
      <c r="T62" s="599"/>
      <c r="U62" s="599"/>
      <c r="V62" s="599"/>
      <c r="W62" s="599"/>
      <c r="X62" s="599"/>
      <c r="Y62" s="599"/>
      <c r="Z62" s="599"/>
      <c r="AA62" s="599"/>
    </row>
    <row r="63" spans="1:27" ht="13.5" customHeight="1">
      <c r="B63" s="149" t="s">
        <v>410</v>
      </c>
      <c r="C63" s="150"/>
      <c r="D63" s="150"/>
      <c r="E63" s="150"/>
      <c r="F63" s="150"/>
      <c r="G63" s="150"/>
      <c r="H63" s="150"/>
      <c r="P63" s="183"/>
      <c r="Q63" s="598" t="s">
        <v>623</v>
      </c>
      <c r="R63" s="599"/>
      <c r="S63" s="599"/>
      <c r="T63" s="599"/>
      <c r="U63" s="599"/>
      <c r="V63" s="599"/>
      <c r="W63" s="599"/>
      <c r="X63" s="599"/>
      <c r="Y63" s="599"/>
      <c r="Z63" s="599"/>
      <c r="AA63" s="599"/>
    </row>
    <row r="64" spans="1:27">
      <c r="A64" s="57"/>
      <c r="B64" s="196" t="s">
        <v>302</v>
      </c>
      <c r="C64" s="57"/>
      <c r="D64" s="57"/>
      <c r="E64" s="57"/>
      <c r="F64" s="57"/>
      <c r="G64" s="57"/>
      <c r="H64" s="57"/>
      <c r="I64" s="57"/>
      <c r="J64" s="57"/>
      <c r="K64" s="57"/>
      <c r="L64" s="57"/>
      <c r="M64" s="57"/>
      <c r="N64" s="57"/>
      <c r="O64" s="57"/>
      <c r="P64" s="183"/>
      <c r="Q64" s="598"/>
      <c r="R64" s="599"/>
      <c r="S64" s="599"/>
      <c r="T64" s="599"/>
      <c r="U64" s="599"/>
      <c r="V64" s="599"/>
      <c r="W64" s="599"/>
      <c r="X64" s="599"/>
      <c r="Y64" s="599"/>
      <c r="Z64" s="599"/>
      <c r="AA64" s="599"/>
    </row>
    <row r="65" spans="1:27">
      <c r="A65" s="57"/>
      <c r="B65" s="332" t="str">
        <f>"　また、「扶養親族」とは、"&amp;IF(計算シート!C67=0,"生計維持者","扶養者")&amp;"の配偶者でない６親等内の血族又は３親等内の姻族で、他者の扶養親族になっておらず、合計所得金額が"</f>
        <v>　また、「扶養親族」とは、扶養者の配偶者でない６親等内の血族又は３親等内の姻族で、他者の扶養親族になっておらず、合計所得金額が</v>
      </c>
      <c r="C65" s="57"/>
      <c r="D65" s="57"/>
      <c r="E65" s="57"/>
      <c r="F65" s="57"/>
      <c r="G65" s="57"/>
      <c r="H65" s="57"/>
      <c r="I65" s="57"/>
      <c r="J65" s="57"/>
      <c r="K65" s="57"/>
      <c r="L65" s="57"/>
      <c r="M65" s="57"/>
      <c r="N65" s="57"/>
      <c r="O65" s="57"/>
      <c r="P65" s="57"/>
      <c r="Q65" s="598"/>
      <c r="R65" s="599"/>
      <c r="S65" s="599"/>
      <c r="T65" s="599"/>
      <c r="U65" s="599"/>
      <c r="V65" s="599"/>
      <c r="W65" s="599"/>
      <c r="X65" s="599"/>
      <c r="Y65" s="599"/>
      <c r="Z65" s="599"/>
      <c r="AA65" s="599"/>
    </row>
    <row r="66" spans="1:27">
      <c r="A66" s="57"/>
      <c r="B66" s="332" t="str">
        <f>"　48万円以下の、"&amp;IF(計算シート!C67=0,"生計維持者","扶養者")&amp;"と生計を一にしている者（住所は同一である必要はありません。）をいいますので、該当する者を申告してください。"</f>
        <v>　48万円以下の、扶養者と生計を一にしている者（住所は同一である必要はありません。）をいいますので、該当する者を申告してください。</v>
      </c>
      <c r="C66" s="57"/>
      <c r="D66" s="57"/>
      <c r="E66" s="57"/>
      <c r="F66" s="57"/>
      <c r="G66" s="57"/>
      <c r="H66" s="57"/>
      <c r="I66" s="57"/>
      <c r="J66" s="57"/>
      <c r="K66" s="57"/>
      <c r="L66" s="57"/>
      <c r="M66" s="57"/>
      <c r="N66" s="57"/>
      <c r="O66" s="57"/>
      <c r="P66" s="57"/>
      <c r="Q66" s="598"/>
      <c r="R66" s="599"/>
      <c r="S66" s="599"/>
      <c r="T66" s="599"/>
      <c r="U66" s="599"/>
      <c r="V66" s="599"/>
      <c r="W66" s="599"/>
      <c r="X66" s="599"/>
      <c r="Y66" s="599"/>
      <c r="Z66" s="599"/>
      <c r="AA66" s="599"/>
    </row>
    <row r="67" spans="1:27" ht="10.5" customHeight="1">
      <c r="A67" s="139"/>
      <c r="B67" s="197" t="s">
        <v>411</v>
      </c>
      <c r="C67" s="139"/>
      <c r="D67" s="139"/>
      <c r="E67" s="139"/>
      <c r="F67" s="139"/>
      <c r="G67" s="139"/>
      <c r="H67" s="139"/>
      <c r="I67" s="139"/>
      <c r="J67" s="139"/>
      <c r="K67" s="139"/>
      <c r="L67" s="139"/>
      <c r="M67" s="139"/>
      <c r="N67" s="139"/>
      <c r="O67" s="139"/>
      <c r="P67" s="139"/>
      <c r="Q67" s="598"/>
      <c r="R67" s="599"/>
      <c r="S67" s="599"/>
      <c r="T67" s="599"/>
      <c r="U67" s="599"/>
      <c r="V67" s="599"/>
      <c r="W67" s="599"/>
      <c r="X67" s="599"/>
      <c r="Y67" s="599"/>
      <c r="Z67" s="599"/>
      <c r="AA67" s="599"/>
    </row>
    <row r="68" spans="1:27" ht="10.5" customHeight="1">
      <c r="B68" s="92" t="s">
        <v>298</v>
      </c>
      <c r="Q68" s="598"/>
      <c r="R68" s="599"/>
      <c r="S68" s="599"/>
      <c r="T68" s="599"/>
      <c r="U68" s="599"/>
      <c r="V68" s="599"/>
      <c r="W68" s="599"/>
      <c r="X68" s="599"/>
      <c r="Y68" s="599"/>
      <c r="Z68" s="599"/>
      <c r="AA68" s="599"/>
    </row>
    <row r="69" spans="1:27" ht="13.5" customHeight="1">
      <c r="A69" s="91"/>
      <c r="B69" s="129" t="s">
        <v>493</v>
      </c>
      <c r="C69" s="130"/>
      <c r="D69" s="131">
        <v>0</v>
      </c>
      <c r="E69" s="132"/>
      <c r="F69" s="608"/>
      <c r="G69" s="609"/>
      <c r="H69" s="609"/>
      <c r="I69" s="610"/>
      <c r="P69" s="183"/>
      <c r="Q69" s="598" t="s">
        <v>625</v>
      </c>
      <c r="R69" s="599"/>
      <c r="S69" s="599"/>
      <c r="T69" s="599"/>
      <c r="U69" s="599"/>
      <c r="V69" s="599"/>
      <c r="W69" s="599"/>
      <c r="X69" s="599"/>
      <c r="Y69" s="599"/>
      <c r="Z69" s="599"/>
      <c r="AA69" s="599"/>
    </row>
    <row r="70" spans="1:27" ht="10.5" customHeight="1">
      <c r="A70" s="93"/>
      <c r="B70" s="133" t="s">
        <v>494</v>
      </c>
      <c r="C70" s="134"/>
      <c r="D70" s="135">
        <v>0</v>
      </c>
      <c r="E70" s="136"/>
      <c r="F70" s="137"/>
      <c r="G70" s="137"/>
      <c r="H70" s="135">
        <v>0</v>
      </c>
      <c r="I70" s="138"/>
      <c r="J70" s="57"/>
      <c r="K70" s="57"/>
      <c r="L70" s="57"/>
      <c r="M70" s="57"/>
      <c r="N70" s="57"/>
      <c r="O70" s="57"/>
      <c r="P70" s="183"/>
      <c r="Q70" s="598"/>
      <c r="R70" s="599"/>
      <c r="S70" s="599"/>
      <c r="T70" s="599"/>
      <c r="U70" s="599"/>
      <c r="V70" s="599"/>
      <c r="W70" s="599"/>
      <c r="X70" s="599"/>
      <c r="Y70" s="599"/>
      <c r="Z70" s="599"/>
      <c r="AA70" s="599"/>
    </row>
    <row r="71" spans="1:27" ht="10.5" customHeight="1">
      <c r="B71" s="151" t="s">
        <v>495</v>
      </c>
      <c r="C71" s="152"/>
      <c r="D71" s="153">
        <v>0</v>
      </c>
      <c r="E71" s="154"/>
      <c r="F71" s="155"/>
      <c r="G71" s="155"/>
      <c r="H71" s="153">
        <v>0</v>
      </c>
      <c r="I71" s="156"/>
      <c r="J71" s="57"/>
      <c r="K71" s="57"/>
      <c r="L71" s="57"/>
      <c r="M71" s="57"/>
      <c r="N71" s="57"/>
      <c r="O71" s="57"/>
      <c r="P71" s="183"/>
      <c r="Q71" s="329" t="s">
        <v>418</v>
      </c>
      <c r="R71" s="373"/>
      <c r="S71" s="373"/>
      <c r="T71" s="373"/>
      <c r="U71" s="373"/>
      <c r="V71" s="373"/>
      <c r="W71" s="373"/>
      <c r="X71" s="373"/>
      <c r="Y71" s="373"/>
      <c r="Z71" s="373"/>
      <c r="AA71" s="373"/>
    </row>
    <row r="72" spans="1:27" ht="10.5" customHeight="1">
      <c r="B72" s="157" t="s">
        <v>496</v>
      </c>
      <c r="C72" s="158"/>
      <c r="D72" s="159">
        <v>0</v>
      </c>
      <c r="E72" s="160"/>
      <c r="F72" s="161"/>
      <c r="G72" s="161"/>
      <c r="H72" s="159">
        <v>0</v>
      </c>
      <c r="I72" s="162"/>
      <c r="P72" s="397">
        <f>MAX(修正履歴!A:A)</f>
        <v>45737</v>
      </c>
      <c r="Q72" s="372" t="s">
        <v>626</v>
      </c>
      <c r="R72" s="373"/>
      <c r="S72" s="373"/>
      <c r="T72" s="373"/>
      <c r="U72" s="373"/>
      <c r="V72" s="373"/>
      <c r="W72" s="373"/>
      <c r="X72" s="373"/>
      <c r="Y72" s="373"/>
      <c r="Z72" s="373"/>
      <c r="AA72" s="373"/>
    </row>
    <row r="73" spans="1:27" ht="10.5" customHeight="1"/>
  </sheetData>
  <protectedRanges>
    <protectedRange sqref="H8" name="範囲1"/>
    <protectedRange sqref="D19" name="範囲1_1"/>
    <protectedRange sqref="D31" name="範囲1_2"/>
    <protectedRange sqref="H31" name="範囲1_3"/>
  </protectedRanges>
  <mergeCells count="21">
    <mergeCell ref="Q46:AA49"/>
    <mergeCell ref="Q53:AA55"/>
    <mergeCell ref="Q69:AA70"/>
    <mergeCell ref="Q63:AA68"/>
    <mergeCell ref="Q59:AA62"/>
    <mergeCell ref="F69:I69"/>
    <mergeCell ref="A1:I1"/>
    <mergeCell ref="Q1:AA1"/>
    <mergeCell ref="B5:I6"/>
    <mergeCell ref="Q7:AA8"/>
    <mergeCell ref="E8:G8"/>
    <mergeCell ref="E10:G10"/>
    <mergeCell ref="E12:G12"/>
    <mergeCell ref="Q4:AA6"/>
    <mergeCell ref="Q9:AA11"/>
    <mergeCell ref="Q12:AA14"/>
    <mergeCell ref="Q15:AA18"/>
    <mergeCell ref="Q24:AA27"/>
    <mergeCell ref="Q32:AA34"/>
    <mergeCell ref="Q38:AA45"/>
    <mergeCell ref="Q50:AA52"/>
  </mergeCells>
  <phoneticPr fontId="2"/>
  <conditionalFormatting sqref="B36:E36">
    <cfRule type="expression" dxfId="9" priority="10">
      <formula>$D$32="はい"</formula>
    </cfRule>
  </conditionalFormatting>
  <conditionalFormatting sqref="H36">
    <cfRule type="expression" dxfId="8" priority="4">
      <formula>$D$32="はい"</formula>
    </cfRule>
  </conditionalFormatting>
  <conditionalFormatting sqref="G47:I55">
    <cfRule type="expression" dxfId="7" priority="9">
      <formula>$D$32="いいえ"</formula>
    </cfRule>
  </conditionalFormatting>
  <conditionalFormatting sqref="H70:I72">
    <cfRule type="expression" dxfId="6" priority="8">
      <formula>OR($D$32="いいえ",$D$33="いいえ")</formula>
    </cfRule>
  </conditionalFormatting>
  <conditionalFormatting sqref="B24:E27">
    <cfRule type="expression" dxfId="5" priority="7">
      <formula>$D$23="いいえ"</formula>
    </cfRule>
  </conditionalFormatting>
  <conditionalFormatting sqref="B22:D22">
    <cfRule type="expression" dxfId="4" priority="6">
      <formula>$D$21&lt;&gt;"特別の障がい者である"</formula>
    </cfRule>
  </conditionalFormatting>
  <conditionalFormatting sqref="B33:E34">
    <cfRule type="expression" dxfId="3" priority="5">
      <formula>$D$32="いいえ"</formula>
    </cfRule>
  </conditionalFormatting>
  <conditionalFormatting sqref="G38:I44">
    <cfRule type="expression" dxfId="2" priority="3">
      <formula>$D$32="いいえ"</formula>
    </cfRule>
  </conditionalFormatting>
  <conditionalFormatting sqref="G30:I30 G32:I36 G31 I31">
    <cfRule type="expression" dxfId="1" priority="2">
      <formula>$D$32="いいえ"</formula>
    </cfRule>
  </conditionalFormatting>
  <conditionalFormatting sqref="H31">
    <cfRule type="expression" dxfId="0" priority="1">
      <formula>$D$32="いいえ"</formula>
    </cfRule>
  </conditionalFormatting>
  <dataValidations count="5">
    <dataValidation type="date" allowBlank="1" showInputMessage="1" showErrorMessage="1" sqref="D19 D31 H31">
      <formula1>1</formula1>
      <formula2>73051</formula2>
    </dataValidation>
    <dataValidation type="whole" allowBlank="1" showInputMessage="1" showErrorMessage="1" sqref="D10">
      <formula1>2000</formula1>
      <formula2>9999</formula2>
    </dataValidation>
    <dataValidation type="list" allowBlank="1" showInputMessage="1" showErrorMessage="1" sqref="D22:D23">
      <formula1>$F$3:$F$4</formula1>
    </dataValidation>
    <dataValidation type="date" allowBlank="1" showInputMessage="1" showErrorMessage="1" sqref="H8">
      <formula1>1</formula1>
      <formula2>401404</formula2>
    </dataValidation>
    <dataValidation type="list" allowBlank="1" showInputMessage="1" showErrorMessage="1" sqref="H35">
      <formula1>$F$12:$F$13</formula1>
    </dataValidation>
  </dataValidations>
  <pageMargins left="0.43307086614173229" right="0.43307086614173229" top="0.35433070866141736" bottom="0.35433070866141736" header="0.11811023622047245" footer="0.11811023622047245"/>
  <pageSetup paperSize="9" scale="6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'C:\Users\FAT019\Desktop\20200325\[海外居住者のための収入等申告書_20200106_5.xlsx]計算シート'!#REF!</xm:f>
          </x14:formula1>
          <xm:sqref>H10 D20:D21 D32:D36</xm:sqref>
        </x14:dataValidation>
        <x14:dataValidation type="list" allowBlank="1" showInputMessage="1" showErrorMessage="1">
          <x14:formula1>
            <xm:f>'C:\Users\FAT019\Desktop\20200325\[海外居住者のための収入等申告書_20200106_5.xlsx]前年レート'!#REF!</xm:f>
          </x14:formula1>
          <xm:sqref>D39 D43 H39 D41 H41 H43 D24 D26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workbookViewId="0">
      <selection activeCell="C51" sqref="C51"/>
    </sheetView>
  </sheetViews>
  <sheetFormatPr defaultColWidth="9" defaultRowHeight="14.2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c r="A1" s="3" t="s">
        <v>579</v>
      </c>
    </row>
    <row r="3" spans="1:22" ht="17.25">
      <c r="A3" s="7" t="s">
        <v>871</v>
      </c>
      <c r="B3" s="8"/>
      <c r="C3" s="8"/>
      <c r="D3" s="8"/>
      <c r="E3" s="8"/>
      <c r="F3" s="8"/>
      <c r="G3" s="8"/>
      <c r="H3" s="8"/>
      <c r="I3" s="8"/>
      <c r="J3" s="9"/>
      <c r="K3" s="10">
        <v>45280</v>
      </c>
      <c r="L3" s="11"/>
      <c r="M3" s="1"/>
      <c r="N3" s="1"/>
    </row>
    <row r="4" spans="1:22">
      <c r="A4" s="12"/>
      <c r="B4" s="13"/>
      <c r="C4" s="13"/>
      <c r="D4" s="13"/>
      <c r="E4" s="13"/>
      <c r="F4" s="13"/>
      <c r="G4" s="13"/>
      <c r="H4" s="13"/>
      <c r="I4" s="13"/>
      <c r="J4" s="14"/>
      <c r="K4" s="15" t="s">
        <v>507</v>
      </c>
      <c r="L4" s="16"/>
      <c r="M4" s="1"/>
      <c r="N4" s="1"/>
    </row>
    <row r="5" spans="1:22">
      <c r="A5" s="12"/>
      <c r="B5" s="13"/>
      <c r="C5" s="13"/>
      <c r="D5" s="13"/>
      <c r="E5" s="13"/>
      <c r="F5" s="13"/>
      <c r="G5" s="13"/>
      <c r="H5" s="13"/>
      <c r="I5" s="13"/>
      <c r="J5" s="14"/>
      <c r="K5" s="14"/>
      <c r="L5" s="17"/>
      <c r="M5" s="1"/>
      <c r="N5" s="1"/>
    </row>
    <row r="6" spans="1:22">
      <c r="A6" s="12"/>
      <c r="B6" s="13" t="s">
        <v>9</v>
      </c>
      <c r="C6" s="14"/>
      <c r="D6" s="13"/>
      <c r="E6" s="13"/>
      <c r="F6" s="13"/>
      <c r="G6" s="13"/>
      <c r="H6" s="13"/>
      <c r="I6" s="13"/>
      <c r="J6" s="13"/>
      <c r="K6" s="13"/>
      <c r="L6" s="18"/>
      <c r="M6" s="2"/>
      <c r="N6" s="1"/>
    </row>
    <row r="7" spans="1:22">
      <c r="A7" s="12"/>
      <c r="B7" s="13" t="s">
        <v>508</v>
      </c>
      <c r="C7" s="14"/>
      <c r="D7" s="13"/>
      <c r="E7" s="13"/>
      <c r="F7" s="13"/>
      <c r="G7" s="13"/>
      <c r="H7" s="13"/>
      <c r="I7" s="13"/>
      <c r="J7" s="13"/>
      <c r="K7" s="13"/>
      <c r="L7" s="18"/>
      <c r="M7" s="2"/>
      <c r="N7" s="1"/>
    </row>
    <row r="8" spans="1:22">
      <c r="A8" s="12"/>
      <c r="B8" s="13" t="s">
        <v>10</v>
      </c>
      <c r="C8" s="14"/>
      <c r="D8" s="13"/>
      <c r="E8" s="13"/>
      <c r="F8" s="13"/>
      <c r="G8" s="13"/>
      <c r="H8" s="13"/>
      <c r="I8" s="13"/>
      <c r="J8" s="13"/>
      <c r="K8" s="13"/>
      <c r="L8" s="17"/>
      <c r="M8" s="2"/>
      <c r="N8" s="1"/>
    </row>
    <row r="9" spans="1:22">
      <c r="A9" s="12"/>
      <c r="B9" s="13"/>
      <c r="C9" s="19"/>
      <c r="D9" s="19"/>
      <c r="E9" s="14"/>
      <c r="F9" s="20"/>
      <c r="G9" s="14"/>
      <c r="H9" s="13"/>
      <c r="I9" s="14"/>
      <c r="J9" s="13"/>
      <c r="K9" s="13"/>
      <c r="L9" s="17"/>
      <c r="M9" s="2"/>
      <c r="N9" s="1"/>
    </row>
    <row r="10" spans="1:22">
      <c r="A10" s="12"/>
      <c r="B10" s="21" t="s">
        <v>872</v>
      </c>
      <c r="C10" s="14"/>
      <c r="D10" s="14"/>
      <c r="E10" s="14"/>
      <c r="F10" s="20"/>
      <c r="G10" s="14"/>
      <c r="H10" s="13"/>
      <c r="I10" s="14"/>
      <c r="J10" s="13"/>
      <c r="K10" s="13"/>
      <c r="L10" s="17"/>
      <c r="M10" s="2"/>
      <c r="N10" s="1"/>
    </row>
    <row r="11" spans="1:22">
      <c r="A11" s="12"/>
      <c r="B11" s="13"/>
      <c r="C11" s="13"/>
      <c r="D11" s="13"/>
      <c r="E11" s="13"/>
      <c r="F11" s="13"/>
      <c r="G11" s="13"/>
      <c r="H11" s="13"/>
      <c r="I11" s="13"/>
      <c r="J11" s="13"/>
      <c r="K11" s="13"/>
      <c r="L11" s="17"/>
      <c r="M11" s="70" t="s">
        <v>47</v>
      </c>
      <c r="N11" s="70" t="s">
        <v>14</v>
      </c>
      <c r="O11" s="71" t="s">
        <v>15</v>
      </c>
    </row>
    <row r="12" spans="1:22">
      <c r="A12" s="12"/>
      <c r="B12" s="14"/>
      <c r="C12" s="14"/>
      <c r="D12" s="14"/>
      <c r="E12" s="14"/>
      <c r="F12" s="14"/>
      <c r="G12" s="14"/>
      <c r="H12" s="14"/>
      <c r="I12" s="14"/>
      <c r="J12" s="14"/>
      <c r="K12" s="19"/>
      <c r="L12" s="22" t="s">
        <v>11</v>
      </c>
      <c r="M12" s="70">
        <v>1</v>
      </c>
      <c r="N12" s="71" t="s">
        <v>49</v>
      </c>
      <c r="O12" s="71">
        <v>1</v>
      </c>
    </row>
    <row r="13" spans="1:22">
      <c r="A13" s="12"/>
      <c r="B13" s="14">
        <v>141.62</v>
      </c>
      <c r="C13" s="23" t="s">
        <v>509</v>
      </c>
      <c r="D13" s="24">
        <v>141.62</v>
      </c>
      <c r="E13" s="14" t="s">
        <v>510</v>
      </c>
      <c r="F13" s="14"/>
      <c r="G13" s="14"/>
      <c r="H13" s="14"/>
      <c r="I13" s="25" t="s">
        <v>6</v>
      </c>
      <c r="J13" s="14"/>
      <c r="K13" s="26">
        <v>1</v>
      </c>
      <c r="L13" s="27" t="s">
        <v>7</v>
      </c>
      <c r="M13" s="70">
        <v>2</v>
      </c>
      <c r="N13" s="70" t="s">
        <v>785</v>
      </c>
      <c r="O13" s="394">
        <f>B13</f>
        <v>141.62</v>
      </c>
    </row>
    <row r="14" spans="1:22">
      <c r="A14" s="12"/>
      <c r="B14" s="25">
        <v>1</v>
      </c>
      <c r="C14" s="25" t="s">
        <v>511</v>
      </c>
      <c r="D14" s="13"/>
      <c r="E14" s="13"/>
      <c r="F14" s="13"/>
      <c r="G14" s="13"/>
      <c r="H14" s="13"/>
      <c r="I14" s="25" t="s">
        <v>6</v>
      </c>
      <c r="J14" s="14"/>
      <c r="K14" s="28" t="s">
        <v>846</v>
      </c>
      <c r="L14" s="29" t="s">
        <v>7</v>
      </c>
      <c r="M14" s="70">
        <v>3</v>
      </c>
      <c r="N14" s="70" t="s">
        <v>786</v>
      </c>
      <c r="O14" s="395">
        <f>VALUE($K14)/$B14*$B$13</f>
        <v>103.3826</v>
      </c>
      <c r="Q14" s="48"/>
      <c r="R14" s="47"/>
      <c r="S14" s="47"/>
      <c r="T14" s="47"/>
      <c r="V14" s="47">
        <f>VALUE($K14)/$B14*$B$13</f>
        <v>103.3826</v>
      </c>
    </row>
    <row r="15" spans="1:22">
      <c r="A15" s="12"/>
      <c r="B15" s="25">
        <v>1</v>
      </c>
      <c r="C15" s="25" t="s">
        <v>512</v>
      </c>
      <c r="D15" s="13"/>
      <c r="E15" s="13"/>
      <c r="F15" s="13"/>
      <c r="G15" s="13"/>
      <c r="H15" s="13"/>
      <c r="I15" s="25" t="s">
        <v>8</v>
      </c>
      <c r="J15" s="14"/>
      <c r="K15" s="28" t="s">
        <v>849</v>
      </c>
      <c r="L15" s="30" t="s">
        <v>8</v>
      </c>
      <c r="M15" s="70">
        <v>4</v>
      </c>
      <c r="N15" s="70" t="s">
        <v>787</v>
      </c>
      <c r="O15" s="395">
        <f t="shared" ref="O15:O74" si="0">VALUE($K15)/$B15*$B$13</f>
        <v>19.826800000000002</v>
      </c>
    </row>
    <row r="16" spans="1:22">
      <c r="A16" s="12"/>
      <c r="B16" s="25">
        <v>1</v>
      </c>
      <c r="C16" s="25" t="s">
        <v>513</v>
      </c>
      <c r="D16" s="13"/>
      <c r="E16" s="13"/>
      <c r="F16" s="13"/>
      <c r="G16" s="13"/>
      <c r="H16" s="13"/>
      <c r="I16" s="25" t="s">
        <v>8</v>
      </c>
      <c r="J16" s="14"/>
      <c r="K16" s="28" t="s">
        <v>873</v>
      </c>
      <c r="L16" s="30" t="s">
        <v>8</v>
      </c>
      <c r="M16" s="70">
        <v>5</v>
      </c>
      <c r="N16" s="70" t="s">
        <v>788</v>
      </c>
      <c r="O16" s="395">
        <f t="shared" si="0"/>
        <v>13.269794000000001</v>
      </c>
    </row>
    <row r="17" spans="1:15">
      <c r="A17" s="12"/>
      <c r="B17" s="25">
        <v>1</v>
      </c>
      <c r="C17" s="25" t="s">
        <v>514</v>
      </c>
      <c r="D17" s="13"/>
      <c r="E17" s="13"/>
      <c r="F17" s="13"/>
      <c r="G17" s="13"/>
      <c r="H17" s="13"/>
      <c r="I17" s="25" t="s">
        <v>8</v>
      </c>
      <c r="J17" s="14"/>
      <c r="K17" s="28" t="s">
        <v>874</v>
      </c>
      <c r="L17" s="30" t="s">
        <v>8</v>
      </c>
      <c r="M17" s="70">
        <v>6</v>
      </c>
      <c r="N17" s="70" t="s">
        <v>789</v>
      </c>
      <c r="O17" s="395">
        <f t="shared" si="0"/>
        <v>158.61440000000002</v>
      </c>
    </row>
    <row r="18" spans="1:15" ht="15.75" customHeight="1">
      <c r="A18" s="12"/>
      <c r="B18" s="25">
        <v>1</v>
      </c>
      <c r="C18" s="25" t="s">
        <v>515</v>
      </c>
      <c r="D18" s="13"/>
      <c r="E18" s="13"/>
      <c r="F18" s="13"/>
      <c r="G18" s="13"/>
      <c r="H18" s="13"/>
      <c r="I18" s="25" t="s">
        <v>8</v>
      </c>
      <c r="J18" s="14"/>
      <c r="K18" s="28" t="s">
        <v>875</v>
      </c>
      <c r="L18" s="30" t="s">
        <v>8</v>
      </c>
      <c r="M18" s="70">
        <v>7</v>
      </c>
      <c r="N18" s="70" t="s">
        <v>790</v>
      </c>
      <c r="O18" s="395">
        <f t="shared" si="0"/>
        <v>175.6088</v>
      </c>
    </row>
    <row r="19" spans="1:15" ht="15.75" customHeight="1">
      <c r="A19" s="12"/>
      <c r="B19" s="25">
        <v>1</v>
      </c>
      <c r="C19" s="25" t="s">
        <v>516</v>
      </c>
      <c r="D19" s="13"/>
      <c r="E19" s="13"/>
      <c r="F19" s="13"/>
      <c r="G19" s="13"/>
      <c r="H19" s="13"/>
      <c r="I19" s="25" t="s">
        <v>8</v>
      </c>
      <c r="J19" s="14"/>
      <c r="K19" s="28" t="s">
        <v>876</v>
      </c>
      <c r="L19" s="30" t="s">
        <v>8</v>
      </c>
      <c r="M19" s="70">
        <v>8</v>
      </c>
      <c r="N19" s="70" t="s">
        <v>791</v>
      </c>
      <c r="O19" s="395">
        <f t="shared" si="0"/>
        <v>152.9496</v>
      </c>
    </row>
    <row r="20" spans="1:15">
      <c r="A20" s="12"/>
      <c r="B20" s="25">
        <v>1</v>
      </c>
      <c r="C20" s="25" t="s">
        <v>517</v>
      </c>
      <c r="D20" s="13"/>
      <c r="E20" s="13"/>
      <c r="F20" s="13"/>
      <c r="G20" s="13"/>
      <c r="H20" s="13"/>
      <c r="I20" s="25" t="s">
        <v>8</v>
      </c>
      <c r="J20" s="14"/>
      <c r="K20" s="28" t="s">
        <v>850</v>
      </c>
      <c r="L20" s="30" t="s">
        <v>8</v>
      </c>
      <c r="M20" s="70">
        <v>9</v>
      </c>
      <c r="N20" s="70" t="s">
        <v>792</v>
      </c>
      <c r="O20" s="395">
        <f t="shared" si="0"/>
        <v>38.520640000000007</v>
      </c>
    </row>
    <row r="21" spans="1:15">
      <c r="A21" s="12"/>
      <c r="B21" s="25">
        <v>1</v>
      </c>
      <c r="C21" s="25" t="s">
        <v>518</v>
      </c>
      <c r="D21" s="13"/>
      <c r="E21" s="13"/>
      <c r="F21" s="13"/>
      <c r="G21" s="13"/>
      <c r="H21" s="13"/>
      <c r="I21" s="25" t="s">
        <v>8</v>
      </c>
      <c r="J21" s="14"/>
      <c r="K21" s="28" t="s">
        <v>877</v>
      </c>
      <c r="L21" s="30" t="s">
        <v>8</v>
      </c>
      <c r="M21" s="70">
        <v>10</v>
      </c>
      <c r="N21" s="70" t="s">
        <v>793</v>
      </c>
      <c r="O21" s="395">
        <f t="shared" si="0"/>
        <v>0.40078460000000005</v>
      </c>
    </row>
    <row r="22" spans="1:15">
      <c r="A22" s="12"/>
      <c r="B22" s="25">
        <v>1</v>
      </c>
      <c r="C22" s="25" t="s">
        <v>519</v>
      </c>
      <c r="D22" s="13"/>
      <c r="E22" s="13"/>
      <c r="F22" s="13"/>
      <c r="G22" s="13"/>
      <c r="H22" s="13"/>
      <c r="I22" s="25" t="s">
        <v>8</v>
      </c>
      <c r="J22" s="14"/>
      <c r="K22" s="28" t="s">
        <v>878</v>
      </c>
      <c r="L22" s="30" t="s">
        <v>8</v>
      </c>
      <c r="M22" s="70">
        <v>11</v>
      </c>
      <c r="N22" s="70" t="s">
        <v>794</v>
      </c>
      <c r="O22" s="395">
        <f t="shared" si="0"/>
        <v>37.24606</v>
      </c>
    </row>
    <row r="23" spans="1:15">
      <c r="A23" s="12"/>
      <c r="B23" s="25">
        <v>1</v>
      </c>
      <c r="C23" s="25" t="s">
        <v>520</v>
      </c>
      <c r="D23" s="13"/>
      <c r="E23" s="13"/>
      <c r="F23" s="31"/>
      <c r="G23" s="13"/>
      <c r="H23" s="13"/>
      <c r="I23" s="25" t="s">
        <v>8</v>
      </c>
      <c r="J23" s="14"/>
      <c r="K23" s="28" t="s">
        <v>879</v>
      </c>
      <c r="L23" s="30" t="s">
        <v>8</v>
      </c>
      <c r="M23" s="70">
        <v>12</v>
      </c>
      <c r="N23" s="70" t="s">
        <v>795</v>
      </c>
      <c r="O23" s="395">
        <f t="shared" si="0"/>
        <v>3.2572600000000003E-4</v>
      </c>
    </row>
    <row r="24" spans="1:15">
      <c r="A24" s="12"/>
      <c r="B24" s="25">
        <v>1</v>
      </c>
      <c r="C24" s="25" t="s">
        <v>521</v>
      </c>
      <c r="D24" s="13"/>
      <c r="E24" s="13"/>
      <c r="F24" s="13"/>
      <c r="G24" s="13"/>
      <c r="H24" s="13"/>
      <c r="I24" s="25" t="s">
        <v>8</v>
      </c>
      <c r="J24" s="14"/>
      <c r="K24" s="28" t="s">
        <v>880</v>
      </c>
      <c r="L24" s="30" t="s">
        <v>8</v>
      </c>
      <c r="M24" s="70">
        <v>13</v>
      </c>
      <c r="N24" s="70" t="s">
        <v>796</v>
      </c>
      <c r="O24" s="395">
        <f t="shared" si="0"/>
        <v>1.6994400000000001</v>
      </c>
    </row>
    <row r="25" spans="1:15">
      <c r="A25" s="12"/>
      <c r="B25" s="25">
        <v>100</v>
      </c>
      <c r="C25" s="25" t="s">
        <v>522</v>
      </c>
      <c r="D25" s="13"/>
      <c r="E25" s="13"/>
      <c r="F25" s="13"/>
      <c r="G25" s="13"/>
      <c r="H25" s="13"/>
      <c r="I25" s="25" t="s">
        <v>8</v>
      </c>
      <c r="J25" s="14"/>
      <c r="K25" s="28" t="s">
        <v>881</v>
      </c>
      <c r="L25" s="30" t="s">
        <v>8</v>
      </c>
      <c r="M25" s="70">
        <v>14</v>
      </c>
      <c r="N25" s="70" t="s">
        <v>797</v>
      </c>
      <c r="O25" s="395">
        <f t="shared" si="0"/>
        <v>9.0920040000000008E-3</v>
      </c>
    </row>
    <row r="26" spans="1:15">
      <c r="A26" s="12"/>
      <c r="B26" s="25">
        <v>1</v>
      </c>
      <c r="C26" s="25" t="s">
        <v>523</v>
      </c>
      <c r="D26" s="13"/>
      <c r="E26" s="13"/>
      <c r="F26" s="13"/>
      <c r="G26" s="13"/>
      <c r="H26" s="13"/>
      <c r="I26" s="25" t="s">
        <v>8</v>
      </c>
      <c r="J26" s="14"/>
      <c r="K26" s="28" t="s">
        <v>882</v>
      </c>
      <c r="L26" s="30" t="s">
        <v>8</v>
      </c>
      <c r="M26" s="70">
        <v>15</v>
      </c>
      <c r="N26" s="70" t="s">
        <v>365</v>
      </c>
      <c r="O26" s="395">
        <f t="shared" si="0"/>
        <v>92.053000000000011</v>
      </c>
    </row>
    <row r="27" spans="1:15">
      <c r="A27" s="12"/>
      <c r="B27" s="25">
        <v>1</v>
      </c>
      <c r="C27" s="25" t="s">
        <v>524</v>
      </c>
      <c r="D27" s="13"/>
      <c r="E27" s="13"/>
      <c r="F27" s="13"/>
      <c r="G27" s="32"/>
      <c r="H27" s="13"/>
      <c r="I27" s="25" t="s">
        <v>8</v>
      </c>
      <c r="J27" s="14"/>
      <c r="K27" s="28" t="s">
        <v>525</v>
      </c>
      <c r="L27" s="30" t="s">
        <v>8</v>
      </c>
      <c r="M27" s="70">
        <v>16</v>
      </c>
      <c r="N27" s="70" t="s">
        <v>798</v>
      </c>
      <c r="O27" s="395">
        <f t="shared" si="0"/>
        <v>368.21200000000005</v>
      </c>
    </row>
    <row r="28" spans="1:15">
      <c r="A28" s="12"/>
      <c r="B28" s="25">
        <v>1</v>
      </c>
      <c r="C28" s="25" t="s">
        <v>526</v>
      </c>
      <c r="D28" s="13"/>
      <c r="E28" s="13"/>
      <c r="F28" s="13"/>
      <c r="G28" s="13"/>
      <c r="H28" s="13"/>
      <c r="I28" s="25" t="s">
        <v>8</v>
      </c>
      <c r="J28" s="14"/>
      <c r="K28" s="28" t="s">
        <v>883</v>
      </c>
      <c r="L28" s="30" t="s">
        <v>8</v>
      </c>
      <c r="M28" s="70">
        <v>17</v>
      </c>
      <c r="N28" s="70" t="s">
        <v>799</v>
      </c>
      <c r="O28" s="395">
        <f t="shared" si="0"/>
        <v>38.803880000000007</v>
      </c>
    </row>
    <row r="29" spans="1:15">
      <c r="A29" s="12"/>
      <c r="B29" s="25">
        <v>100</v>
      </c>
      <c r="C29" s="25" t="s">
        <v>527</v>
      </c>
      <c r="D29" s="13"/>
      <c r="E29" s="13"/>
      <c r="F29" s="13"/>
      <c r="G29" s="13"/>
      <c r="H29" s="13"/>
      <c r="I29" s="25" t="s">
        <v>8</v>
      </c>
      <c r="J29" s="14"/>
      <c r="K29" s="28" t="s">
        <v>884</v>
      </c>
      <c r="L29" s="30" t="s">
        <v>8</v>
      </c>
      <c r="M29" s="70">
        <v>18</v>
      </c>
      <c r="N29" s="70" t="s">
        <v>800</v>
      </c>
      <c r="O29" s="395">
        <f t="shared" si="0"/>
        <v>0.10848091999999999</v>
      </c>
    </row>
    <row r="30" spans="1:15">
      <c r="A30" s="12"/>
      <c r="B30" s="25">
        <v>100</v>
      </c>
      <c r="C30" s="25" t="s">
        <v>528</v>
      </c>
      <c r="D30" s="13"/>
      <c r="E30" s="13"/>
      <c r="F30" s="13"/>
      <c r="G30" s="13"/>
      <c r="H30" s="13"/>
      <c r="I30" s="25" t="s">
        <v>8</v>
      </c>
      <c r="J30" s="14"/>
      <c r="K30" s="28" t="s">
        <v>885</v>
      </c>
      <c r="L30" s="30" t="s">
        <v>8</v>
      </c>
      <c r="M30" s="70">
        <v>19</v>
      </c>
      <c r="N30" s="70" t="s">
        <v>801</v>
      </c>
      <c r="O30" s="395">
        <f t="shared" si="0"/>
        <v>3.4413659999999999E-2</v>
      </c>
    </row>
    <row r="31" spans="1:15">
      <c r="A31" s="12"/>
      <c r="B31" s="25">
        <v>1</v>
      </c>
      <c r="C31" s="25" t="s">
        <v>529</v>
      </c>
      <c r="D31" s="13"/>
      <c r="E31" s="13"/>
      <c r="F31" s="13"/>
      <c r="G31" s="13"/>
      <c r="H31" s="13"/>
      <c r="I31" s="25" t="s">
        <v>8</v>
      </c>
      <c r="J31" s="14"/>
      <c r="K31" s="28" t="s">
        <v>851</v>
      </c>
      <c r="L31" s="30" t="s">
        <v>8</v>
      </c>
      <c r="M31" s="70">
        <v>20</v>
      </c>
      <c r="N31" s="70" t="s">
        <v>802</v>
      </c>
      <c r="O31" s="395">
        <f t="shared" si="0"/>
        <v>458.84880000000004</v>
      </c>
    </row>
    <row r="32" spans="1:15">
      <c r="A32" s="12"/>
      <c r="B32" s="25">
        <v>1</v>
      </c>
      <c r="C32" s="25" t="s">
        <v>530</v>
      </c>
      <c r="D32" s="13"/>
      <c r="E32" s="13"/>
      <c r="F32" s="13"/>
      <c r="G32" s="13"/>
      <c r="H32" s="13"/>
      <c r="I32" s="25" t="s">
        <v>8</v>
      </c>
      <c r="J32" s="14"/>
      <c r="K32" s="28" t="s">
        <v>886</v>
      </c>
      <c r="L32" s="30" t="s">
        <v>8</v>
      </c>
      <c r="M32" s="70">
        <v>21</v>
      </c>
      <c r="N32" s="70" t="s">
        <v>803</v>
      </c>
      <c r="O32" s="395">
        <f t="shared" si="0"/>
        <v>0.93044340000000003</v>
      </c>
    </row>
    <row r="33" spans="1:15">
      <c r="A33" s="12"/>
      <c r="B33" s="25">
        <v>100</v>
      </c>
      <c r="C33" s="25" t="s">
        <v>531</v>
      </c>
      <c r="D33" s="13"/>
      <c r="E33" s="13"/>
      <c r="F33" s="13"/>
      <c r="G33" s="13"/>
      <c r="H33" s="13"/>
      <c r="I33" s="25" t="s">
        <v>8</v>
      </c>
      <c r="J33" s="14"/>
      <c r="K33" s="28" t="s">
        <v>887</v>
      </c>
      <c r="L33" s="30" t="s">
        <v>8</v>
      </c>
      <c r="M33" s="70">
        <v>22</v>
      </c>
      <c r="N33" s="70" t="s">
        <v>804</v>
      </c>
      <c r="O33" s="395">
        <f t="shared" si="0"/>
        <v>3.5121760000000002E-2</v>
      </c>
    </row>
    <row r="34" spans="1:15">
      <c r="A34" s="12"/>
      <c r="B34" s="25">
        <v>1</v>
      </c>
      <c r="C34" s="25" t="s">
        <v>532</v>
      </c>
      <c r="D34" s="13"/>
      <c r="E34" s="13"/>
      <c r="F34" s="13"/>
      <c r="G34" s="13"/>
      <c r="H34" s="13"/>
      <c r="I34" s="25" t="s">
        <v>8</v>
      </c>
      <c r="J34" s="14"/>
      <c r="K34" s="28" t="s">
        <v>888</v>
      </c>
      <c r="L34" s="30" t="s">
        <v>8</v>
      </c>
      <c r="M34" s="70">
        <v>23</v>
      </c>
      <c r="N34" s="70" t="s">
        <v>805</v>
      </c>
      <c r="O34" s="395">
        <f t="shared" si="0"/>
        <v>37.812540000000006</v>
      </c>
    </row>
    <row r="35" spans="1:15">
      <c r="A35" s="12"/>
      <c r="B35" s="25">
        <v>1</v>
      </c>
      <c r="C35" s="25" t="s">
        <v>533</v>
      </c>
      <c r="D35" s="13"/>
      <c r="E35" s="13"/>
      <c r="F35" s="13"/>
      <c r="G35" s="13"/>
      <c r="H35" s="13"/>
      <c r="I35" s="25" t="s">
        <v>8</v>
      </c>
      <c r="J35" s="14"/>
      <c r="K35" s="28" t="s">
        <v>889</v>
      </c>
      <c r="L35" s="30" t="s">
        <v>8</v>
      </c>
      <c r="M35" s="70">
        <v>24</v>
      </c>
      <c r="N35" s="70" t="s">
        <v>806</v>
      </c>
      <c r="O35" s="395">
        <f t="shared" si="0"/>
        <v>105.08204000000001</v>
      </c>
    </row>
    <row r="36" spans="1:15">
      <c r="A36" s="12"/>
      <c r="B36" s="25">
        <v>100</v>
      </c>
      <c r="C36" s="25" t="s">
        <v>534</v>
      </c>
      <c r="D36" s="13"/>
      <c r="E36" s="13"/>
      <c r="F36" s="13"/>
      <c r="G36" s="13"/>
      <c r="H36" s="13"/>
      <c r="I36" s="25" t="s">
        <v>8</v>
      </c>
      <c r="J36" s="14"/>
      <c r="K36" s="28" t="s">
        <v>890</v>
      </c>
      <c r="L36" s="30" t="s">
        <v>8</v>
      </c>
      <c r="M36" s="70">
        <v>25</v>
      </c>
      <c r="N36" s="70" t="s">
        <v>807</v>
      </c>
      <c r="O36" s="395">
        <f t="shared" si="0"/>
        <v>4.4468680000000012</v>
      </c>
    </row>
    <row r="37" spans="1:15">
      <c r="A37" s="12"/>
      <c r="B37" s="25">
        <v>100</v>
      </c>
      <c r="C37" s="25" t="s">
        <v>535</v>
      </c>
      <c r="D37" s="13"/>
      <c r="E37" s="13"/>
      <c r="F37" s="13"/>
      <c r="G37" s="13"/>
      <c r="H37" s="13"/>
      <c r="I37" s="25" t="s">
        <v>8</v>
      </c>
      <c r="J37" s="14"/>
      <c r="K37" s="28" t="s">
        <v>891</v>
      </c>
      <c r="L37" s="30" t="s">
        <v>8</v>
      </c>
      <c r="M37" s="70">
        <v>26</v>
      </c>
      <c r="N37" s="70" t="s">
        <v>808</v>
      </c>
      <c r="O37" s="395">
        <f t="shared" si="0"/>
        <v>0.43194099999999996</v>
      </c>
    </row>
    <row r="38" spans="1:15">
      <c r="A38" s="12"/>
      <c r="B38" s="25">
        <v>1</v>
      </c>
      <c r="C38" s="25" t="s">
        <v>536</v>
      </c>
      <c r="D38" s="13"/>
      <c r="E38" s="13"/>
      <c r="F38" s="13"/>
      <c r="G38" s="13"/>
      <c r="H38" s="13"/>
      <c r="I38" s="25" t="s">
        <v>8</v>
      </c>
      <c r="J38" s="14"/>
      <c r="K38" s="28" t="s">
        <v>892</v>
      </c>
      <c r="L38" s="30" t="s">
        <v>8</v>
      </c>
      <c r="M38" s="70">
        <v>27</v>
      </c>
      <c r="N38" s="70" t="s">
        <v>809</v>
      </c>
      <c r="O38" s="395">
        <f t="shared" si="0"/>
        <v>10.309936</v>
      </c>
    </row>
    <row r="39" spans="1:15">
      <c r="A39" s="12"/>
      <c r="B39" s="25">
        <v>100</v>
      </c>
      <c r="C39" s="25" t="s">
        <v>537</v>
      </c>
      <c r="D39" s="13"/>
      <c r="E39" s="13"/>
      <c r="F39" s="13"/>
      <c r="G39" s="13"/>
      <c r="H39" s="13"/>
      <c r="I39" s="25" t="s">
        <v>8</v>
      </c>
      <c r="J39" s="14"/>
      <c r="K39" s="28" t="s">
        <v>893</v>
      </c>
      <c r="L39" s="30" t="s">
        <v>8</v>
      </c>
      <c r="M39" s="70">
        <v>28</v>
      </c>
      <c r="N39" s="70" t="s">
        <v>810</v>
      </c>
      <c r="O39" s="395">
        <f t="shared" si="0"/>
        <v>3.993684</v>
      </c>
    </row>
    <row r="40" spans="1:15">
      <c r="A40" s="12"/>
      <c r="B40" s="25">
        <v>100</v>
      </c>
      <c r="C40" s="25" t="s">
        <v>538</v>
      </c>
      <c r="D40" s="13"/>
      <c r="E40" s="13"/>
      <c r="F40" s="13"/>
      <c r="G40" s="13"/>
      <c r="H40" s="13"/>
      <c r="I40" s="25" t="s">
        <v>8</v>
      </c>
      <c r="J40" s="14"/>
      <c r="K40" s="28" t="s">
        <v>894</v>
      </c>
      <c r="L40" s="30" t="s">
        <v>8</v>
      </c>
      <c r="M40" s="70">
        <v>29</v>
      </c>
      <c r="N40" s="70" t="s">
        <v>811</v>
      </c>
      <c r="O40" s="395">
        <f t="shared" si="0"/>
        <v>1.2745800000000003</v>
      </c>
    </row>
    <row r="41" spans="1:15">
      <c r="A41" s="12"/>
      <c r="B41" s="25">
        <v>1</v>
      </c>
      <c r="C41" s="25" t="s">
        <v>539</v>
      </c>
      <c r="D41" s="13"/>
      <c r="E41" s="13"/>
      <c r="F41" s="13"/>
      <c r="G41" s="13"/>
      <c r="H41" s="13"/>
      <c r="I41" s="25" t="s">
        <v>8</v>
      </c>
      <c r="J41" s="14"/>
      <c r="K41" s="28" t="s">
        <v>895</v>
      </c>
      <c r="L41" s="30" t="s">
        <v>8</v>
      </c>
      <c r="M41" s="70">
        <v>30</v>
      </c>
      <c r="N41" s="70" t="s">
        <v>812</v>
      </c>
      <c r="O41" s="395">
        <f t="shared" si="0"/>
        <v>6.2596040000000004</v>
      </c>
    </row>
    <row r="42" spans="1:15">
      <c r="A42" s="12"/>
      <c r="B42" s="25">
        <v>100</v>
      </c>
      <c r="C42" s="25" t="s">
        <v>540</v>
      </c>
      <c r="D42" s="13"/>
      <c r="E42" s="13"/>
      <c r="F42" s="13"/>
      <c r="G42" s="13"/>
      <c r="H42" s="13"/>
      <c r="I42" s="25" t="s">
        <v>8</v>
      </c>
      <c r="J42" s="14"/>
      <c r="K42" s="28" t="s">
        <v>896</v>
      </c>
      <c r="L42" s="30" t="s">
        <v>8</v>
      </c>
      <c r="M42" s="70">
        <v>31</v>
      </c>
      <c r="N42" s="70" t="s">
        <v>813</v>
      </c>
      <c r="O42" s="395">
        <f t="shared" si="0"/>
        <v>0.1600306</v>
      </c>
    </row>
    <row r="43" spans="1:15">
      <c r="A43" s="12"/>
      <c r="B43" s="25">
        <v>1</v>
      </c>
      <c r="C43" s="25" t="s">
        <v>541</v>
      </c>
      <c r="D43" s="13"/>
      <c r="E43" s="13"/>
      <c r="F43" s="13"/>
      <c r="G43" s="13"/>
      <c r="H43" s="13"/>
      <c r="I43" s="25" t="s">
        <v>8</v>
      </c>
      <c r="J43" s="14"/>
      <c r="K43" s="28" t="s">
        <v>897</v>
      </c>
      <c r="L43" s="30" t="s">
        <v>8</v>
      </c>
      <c r="M43" s="70">
        <v>32</v>
      </c>
      <c r="N43" s="70" t="s">
        <v>814</v>
      </c>
      <c r="O43" s="395">
        <f t="shared" si="0"/>
        <v>20.5349</v>
      </c>
    </row>
    <row r="44" spans="1:15">
      <c r="A44" s="12"/>
      <c r="B44" s="25">
        <v>1</v>
      </c>
      <c r="C44" s="25" t="s">
        <v>542</v>
      </c>
      <c r="D44" s="13"/>
      <c r="E44" s="13"/>
      <c r="F44" s="13"/>
      <c r="G44" s="13"/>
      <c r="H44" s="13"/>
      <c r="I44" s="25" t="s">
        <v>8</v>
      </c>
      <c r="J44" s="14"/>
      <c r="K44" s="28" t="s">
        <v>853</v>
      </c>
      <c r="L44" s="30" t="s">
        <v>8</v>
      </c>
      <c r="M44" s="70">
        <v>33</v>
      </c>
      <c r="N44" s="70" t="s">
        <v>815</v>
      </c>
      <c r="O44" s="395">
        <f t="shared" si="0"/>
        <v>20.959759999999999</v>
      </c>
    </row>
    <row r="45" spans="1:15">
      <c r="A45" s="12"/>
      <c r="B45" s="25">
        <v>1</v>
      </c>
      <c r="C45" s="25" t="s">
        <v>543</v>
      </c>
      <c r="D45" s="13"/>
      <c r="E45" s="13"/>
      <c r="F45" s="13"/>
      <c r="G45" s="13"/>
      <c r="H45" s="13"/>
      <c r="I45" s="25" t="s">
        <v>8</v>
      </c>
      <c r="J45" s="14"/>
      <c r="K45" s="28" t="s">
        <v>898</v>
      </c>
      <c r="L45" s="30" t="s">
        <v>8</v>
      </c>
      <c r="M45" s="70">
        <v>34</v>
      </c>
      <c r="N45" s="70" t="s">
        <v>816</v>
      </c>
      <c r="O45" s="395">
        <f t="shared" si="0"/>
        <v>4.9425379999999999</v>
      </c>
    </row>
    <row r="46" spans="1:15">
      <c r="A46" s="12"/>
      <c r="B46" s="25">
        <v>1</v>
      </c>
      <c r="C46" s="25" t="s">
        <v>544</v>
      </c>
      <c r="D46" s="13"/>
      <c r="E46" s="13"/>
      <c r="F46" s="13"/>
      <c r="G46" s="13"/>
      <c r="H46" s="13"/>
      <c r="I46" s="25" t="s">
        <v>8</v>
      </c>
      <c r="J46" s="14"/>
      <c r="K46" s="28" t="s">
        <v>899</v>
      </c>
      <c r="L46" s="30" t="s">
        <v>8</v>
      </c>
      <c r="M46" s="70">
        <v>35</v>
      </c>
      <c r="N46" s="70" t="s">
        <v>817</v>
      </c>
      <c r="O46" s="395">
        <f t="shared" si="0"/>
        <v>0.1727764</v>
      </c>
    </row>
    <row r="47" spans="1:15">
      <c r="A47" s="12"/>
      <c r="B47" s="25">
        <v>1</v>
      </c>
      <c r="C47" s="25" t="s">
        <v>545</v>
      </c>
      <c r="D47" s="13"/>
      <c r="E47" s="13"/>
      <c r="F47" s="13"/>
      <c r="G47" s="13"/>
      <c r="H47" s="13"/>
      <c r="I47" s="25" t="s">
        <v>8</v>
      </c>
      <c r="J47" s="14"/>
      <c r="K47" s="28" t="s">
        <v>900</v>
      </c>
      <c r="L47" s="30" t="s">
        <v>8</v>
      </c>
      <c r="M47" s="70">
        <v>36</v>
      </c>
      <c r="N47" s="70" t="s">
        <v>818</v>
      </c>
      <c r="O47" s="395">
        <f t="shared" si="0"/>
        <v>84.971999999999994</v>
      </c>
    </row>
    <row r="48" spans="1:15">
      <c r="A48" s="12"/>
      <c r="B48" s="25">
        <v>1</v>
      </c>
      <c r="C48" s="25" t="s">
        <v>546</v>
      </c>
      <c r="D48" s="13"/>
      <c r="E48" s="13"/>
      <c r="F48" s="13"/>
      <c r="G48" s="13"/>
      <c r="H48" s="13"/>
      <c r="I48" s="25" t="s">
        <v>8</v>
      </c>
      <c r="J48" s="14"/>
      <c r="K48" s="28" t="s">
        <v>901</v>
      </c>
      <c r="L48" s="30" t="s">
        <v>8</v>
      </c>
      <c r="M48" s="70">
        <v>37</v>
      </c>
      <c r="N48" s="70" t="s">
        <v>819</v>
      </c>
      <c r="O48" s="395">
        <f t="shared" si="0"/>
        <v>12.986554000000002</v>
      </c>
    </row>
    <row r="49" spans="1:15">
      <c r="A49" s="12"/>
      <c r="B49" s="25">
        <v>1</v>
      </c>
      <c r="C49" s="25" t="s">
        <v>547</v>
      </c>
      <c r="D49" s="13"/>
      <c r="E49" s="13"/>
      <c r="F49" s="13"/>
      <c r="G49" s="13"/>
      <c r="H49" s="13"/>
      <c r="I49" s="25" t="s">
        <v>8</v>
      </c>
      <c r="J49" s="14"/>
      <c r="K49" s="28" t="s">
        <v>902</v>
      </c>
      <c r="L49" s="30" t="s">
        <v>8</v>
      </c>
      <c r="M49" s="70">
        <v>38</v>
      </c>
      <c r="N49" s="70" t="s">
        <v>820</v>
      </c>
      <c r="O49" s="395">
        <f t="shared" si="0"/>
        <v>0.49567</v>
      </c>
    </row>
    <row r="50" spans="1:15">
      <c r="A50" s="12"/>
      <c r="B50" s="25">
        <v>100</v>
      </c>
      <c r="C50" s="25" t="s">
        <v>548</v>
      </c>
      <c r="D50" s="13"/>
      <c r="E50" s="13"/>
      <c r="F50" s="13"/>
      <c r="G50" s="13"/>
      <c r="H50" s="13"/>
      <c r="I50" s="25" t="s">
        <v>8</v>
      </c>
      <c r="J50" s="14"/>
      <c r="K50" s="28" t="s">
        <v>903</v>
      </c>
      <c r="L50" s="30" t="s">
        <v>8</v>
      </c>
      <c r="M50" s="70">
        <v>39</v>
      </c>
      <c r="N50" s="70" t="s">
        <v>821</v>
      </c>
      <c r="O50" s="395">
        <f t="shared" si="0"/>
        <v>1.1655325999999999</v>
      </c>
    </row>
    <row r="51" spans="1:15">
      <c r="A51" s="12"/>
      <c r="B51" s="25">
        <v>1</v>
      </c>
      <c r="C51" s="25" t="s">
        <v>549</v>
      </c>
      <c r="D51" s="13"/>
      <c r="E51" s="13"/>
      <c r="F51" s="13"/>
      <c r="G51" s="13"/>
      <c r="H51" s="13"/>
      <c r="I51" s="25" t="s">
        <v>8</v>
      </c>
      <c r="J51" s="14"/>
      <c r="K51" s="28" t="s">
        <v>904</v>
      </c>
      <c r="L51" s="30" t="s">
        <v>8</v>
      </c>
      <c r="M51" s="70">
        <v>40</v>
      </c>
      <c r="N51" s="70" t="s">
        <v>822</v>
      </c>
      <c r="O51" s="395">
        <f t="shared" si="0"/>
        <v>38.095780000000005</v>
      </c>
    </row>
    <row r="52" spans="1:15">
      <c r="A52" s="12"/>
      <c r="B52" s="25">
        <v>1</v>
      </c>
      <c r="C52" s="25" t="s">
        <v>550</v>
      </c>
      <c r="D52" s="13"/>
      <c r="E52" s="13"/>
      <c r="F52" s="13"/>
      <c r="G52" s="13"/>
      <c r="H52" s="13"/>
      <c r="I52" s="25" t="s">
        <v>8</v>
      </c>
      <c r="J52" s="14"/>
      <c r="K52" s="28" t="s">
        <v>854</v>
      </c>
      <c r="L52" s="30" t="s">
        <v>8</v>
      </c>
      <c r="M52" s="70">
        <v>41</v>
      </c>
      <c r="N52" s="70" t="s">
        <v>823</v>
      </c>
      <c r="O52" s="395">
        <f t="shared" si="0"/>
        <v>375.29300000000001</v>
      </c>
    </row>
    <row r="53" spans="1:15">
      <c r="A53" s="12"/>
      <c r="B53" s="25">
        <v>100</v>
      </c>
      <c r="C53" s="25" t="s">
        <v>551</v>
      </c>
      <c r="D53" s="13"/>
      <c r="E53" s="13"/>
      <c r="F53" s="13"/>
      <c r="G53" s="13"/>
      <c r="H53" s="13"/>
      <c r="I53" s="25" t="s">
        <v>8</v>
      </c>
      <c r="J53" s="14"/>
      <c r="K53" s="28" t="s">
        <v>905</v>
      </c>
      <c r="L53" s="30" t="s">
        <v>8</v>
      </c>
      <c r="M53" s="70">
        <v>42</v>
      </c>
      <c r="N53" s="70" t="s">
        <v>824</v>
      </c>
      <c r="O53" s="395">
        <f t="shared" si="0"/>
        <v>0.40361699999999995</v>
      </c>
    </row>
    <row r="54" spans="1:15">
      <c r="A54" s="12"/>
      <c r="B54" s="25">
        <v>100</v>
      </c>
      <c r="C54" s="25" t="s">
        <v>552</v>
      </c>
      <c r="D54" s="13"/>
      <c r="E54" s="13"/>
      <c r="F54" s="13"/>
      <c r="G54" s="13"/>
      <c r="H54" s="13"/>
      <c r="I54" s="25" t="s">
        <v>8</v>
      </c>
      <c r="J54" s="14"/>
      <c r="K54" s="28" t="s">
        <v>906</v>
      </c>
      <c r="L54" s="30" t="s">
        <v>8</v>
      </c>
      <c r="M54" s="70">
        <v>43</v>
      </c>
      <c r="N54" s="70" t="s">
        <v>825</v>
      </c>
      <c r="O54" s="395">
        <f t="shared" si="0"/>
        <v>1.2816610000000002</v>
      </c>
    </row>
    <row r="55" spans="1:15">
      <c r="A55" s="12"/>
      <c r="B55" s="25">
        <v>1</v>
      </c>
      <c r="C55" s="25" t="s">
        <v>553</v>
      </c>
      <c r="D55" s="13"/>
      <c r="E55" s="13"/>
      <c r="F55" s="13"/>
      <c r="G55" s="13"/>
      <c r="H55" s="13"/>
      <c r="I55" s="25" t="s">
        <v>8</v>
      </c>
      <c r="J55" s="14"/>
      <c r="K55" s="28" t="s">
        <v>907</v>
      </c>
      <c r="L55" s="30" t="s">
        <v>8</v>
      </c>
      <c r="M55" s="70">
        <v>44</v>
      </c>
      <c r="N55" s="70" t="s">
        <v>826</v>
      </c>
      <c r="O55" s="395">
        <f t="shared" si="0"/>
        <v>62.312800000000003</v>
      </c>
    </row>
    <row r="56" spans="1:15">
      <c r="A56" s="12"/>
      <c r="B56" s="25">
        <v>1</v>
      </c>
      <c r="C56" s="25" t="s">
        <v>554</v>
      </c>
      <c r="D56" s="13"/>
      <c r="E56" s="13"/>
      <c r="F56" s="13"/>
      <c r="G56" s="13"/>
      <c r="H56" s="13"/>
      <c r="I56" s="25" t="s">
        <v>8</v>
      </c>
      <c r="J56" s="13"/>
      <c r="K56" s="28" t="s">
        <v>908</v>
      </c>
      <c r="L56" s="30" t="s">
        <v>8</v>
      </c>
      <c r="M56" s="70">
        <v>45</v>
      </c>
      <c r="N56" s="70" t="s">
        <v>827</v>
      </c>
      <c r="O56" s="395">
        <f t="shared" si="0"/>
        <v>2.5349979999999999</v>
      </c>
    </row>
    <row r="57" spans="1:15">
      <c r="A57" s="12"/>
      <c r="B57" s="25">
        <v>1</v>
      </c>
      <c r="C57" s="25" t="s">
        <v>555</v>
      </c>
      <c r="D57" s="13"/>
      <c r="E57" s="13"/>
      <c r="F57" s="13"/>
      <c r="G57" s="13"/>
      <c r="H57" s="13"/>
      <c r="I57" s="25" t="s">
        <v>8</v>
      </c>
      <c r="J57" s="14"/>
      <c r="K57" s="28" t="s">
        <v>909</v>
      </c>
      <c r="L57" s="30" t="s">
        <v>8</v>
      </c>
      <c r="M57" s="70">
        <v>46</v>
      </c>
      <c r="N57" s="70" t="s">
        <v>828</v>
      </c>
      <c r="O57" s="395">
        <f t="shared" si="0"/>
        <v>28.89048</v>
      </c>
    </row>
    <row r="58" spans="1:15">
      <c r="A58" s="12"/>
      <c r="B58" s="25">
        <v>1</v>
      </c>
      <c r="C58" s="25" t="s">
        <v>556</v>
      </c>
      <c r="D58" s="13"/>
      <c r="E58" s="13"/>
      <c r="F58" s="13"/>
      <c r="G58" s="13"/>
      <c r="H58" s="13"/>
      <c r="I58" s="25" t="s">
        <v>8</v>
      </c>
      <c r="J58" s="14"/>
      <c r="K58" s="28" t="s">
        <v>889</v>
      </c>
      <c r="L58" s="30" t="s">
        <v>8</v>
      </c>
      <c r="M58" s="70">
        <v>47</v>
      </c>
      <c r="N58" s="70" t="s">
        <v>829</v>
      </c>
      <c r="O58" s="395">
        <f t="shared" si="0"/>
        <v>105.08204000000001</v>
      </c>
    </row>
    <row r="59" spans="1:15">
      <c r="A59" s="12"/>
      <c r="B59" s="25">
        <v>100</v>
      </c>
      <c r="C59" s="25" t="s">
        <v>557</v>
      </c>
      <c r="D59" s="13"/>
      <c r="E59" s="13"/>
      <c r="F59" s="13"/>
      <c r="G59" s="13"/>
      <c r="H59" s="13"/>
      <c r="I59" s="25" t="s">
        <v>8</v>
      </c>
      <c r="J59" s="14"/>
      <c r="K59" s="28" t="s">
        <v>910</v>
      </c>
      <c r="L59" s="30" t="s">
        <v>8</v>
      </c>
      <c r="M59" s="70">
        <v>48</v>
      </c>
      <c r="N59" s="70" t="s">
        <v>830</v>
      </c>
      <c r="O59" s="395">
        <f t="shared" si="0"/>
        <v>5.8205819999999995E-3</v>
      </c>
    </row>
    <row r="60" spans="1:15">
      <c r="A60" s="12"/>
      <c r="B60" s="25">
        <v>1</v>
      </c>
      <c r="C60" s="25" t="s">
        <v>558</v>
      </c>
      <c r="D60" s="13"/>
      <c r="E60" s="13"/>
      <c r="F60" s="13"/>
      <c r="G60" s="13"/>
      <c r="H60" s="13"/>
      <c r="I60" s="25" t="s">
        <v>8</v>
      </c>
      <c r="J60" s="14"/>
      <c r="K60" s="28" t="s">
        <v>911</v>
      </c>
      <c r="L60" s="30" t="s">
        <v>8</v>
      </c>
      <c r="M60" s="70">
        <v>49</v>
      </c>
      <c r="N60" s="70" t="s">
        <v>831</v>
      </c>
      <c r="O60" s="395">
        <f t="shared" si="0"/>
        <v>4.0078459999999998</v>
      </c>
    </row>
    <row r="61" spans="1:15">
      <c r="A61" s="12"/>
      <c r="B61" s="25">
        <v>1</v>
      </c>
      <c r="C61" s="25" t="s">
        <v>559</v>
      </c>
      <c r="D61" s="13"/>
      <c r="E61" s="13"/>
      <c r="F61" s="13"/>
      <c r="G61" s="13"/>
      <c r="H61" s="13"/>
      <c r="I61" s="25" t="s">
        <v>8</v>
      </c>
      <c r="J61" s="14"/>
      <c r="K61" s="28" t="s">
        <v>852</v>
      </c>
      <c r="L61" s="30" t="s">
        <v>8</v>
      </c>
      <c r="M61" s="70">
        <v>50</v>
      </c>
      <c r="N61" s="70" t="s">
        <v>832</v>
      </c>
      <c r="O61" s="395">
        <f t="shared" si="0"/>
        <v>37.670920000000002</v>
      </c>
    </row>
    <row r="62" spans="1:15">
      <c r="A62" s="12"/>
      <c r="B62" s="25">
        <v>1</v>
      </c>
      <c r="C62" s="25" t="s">
        <v>560</v>
      </c>
      <c r="D62" s="13"/>
      <c r="E62" s="13"/>
      <c r="F62" s="13"/>
      <c r="G62" s="13"/>
      <c r="H62" s="13"/>
      <c r="I62" s="25" t="s">
        <v>8</v>
      </c>
      <c r="J62" s="14"/>
      <c r="K62" s="28" t="s">
        <v>912</v>
      </c>
      <c r="L62" s="30" t="s">
        <v>8</v>
      </c>
      <c r="M62" s="70">
        <v>51</v>
      </c>
      <c r="N62" s="70" t="s">
        <v>833</v>
      </c>
      <c r="O62" s="395">
        <f t="shared" si="0"/>
        <v>34.838520000000003</v>
      </c>
    </row>
    <row r="63" spans="1:15">
      <c r="A63" s="12"/>
      <c r="B63" s="25">
        <v>1</v>
      </c>
      <c r="C63" s="25" t="s">
        <v>561</v>
      </c>
      <c r="D63" s="13"/>
      <c r="E63" s="13"/>
      <c r="F63" s="13"/>
      <c r="G63" s="13"/>
      <c r="H63" s="13"/>
      <c r="I63" s="25" t="s">
        <v>8</v>
      </c>
      <c r="J63" s="14"/>
      <c r="K63" s="28" t="s">
        <v>855</v>
      </c>
      <c r="L63" s="30" t="s">
        <v>8</v>
      </c>
      <c r="M63" s="70">
        <v>52</v>
      </c>
      <c r="N63" s="70" t="s">
        <v>834</v>
      </c>
      <c r="O63" s="395">
        <f t="shared" si="0"/>
        <v>18.127359999999999</v>
      </c>
    </row>
    <row r="64" spans="1:15">
      <c r="A64" s="12"/>
      <c r="B64" s="25">
        <v>1</v>
      </c>
      <c r="C64" s="25" t="s">
        <v>562</v>
      </c>
      <c r="D64" s="13"/>
      <c r="E64" s="13"/>
      <c r="F64" s="13"/>
      <c r="G64" s="13"/>
      <c r="H64" s="13"/>
      <c r="I64" s="25" t="s">
        <v>8</v>
      </c>
      <c r="J64" s="14"/>
      <c r="K64" s="28" t="s">
        <v>913</v>
      </c>
      <c r="L64" s="30" t="s">
        <v>8</v>
      </c>
      <c r="M64" s="70">
        <v>53</v>
      </c>
      <c r="N64" s="70" t="s">
        <v>835</v>
      </c>
      <c r="O64" s="395">
        <f t="shared" si="0"/>
        <v>30.16506</v>
      </c>
    </row>
    <row r="65" spans="1:15">
      <c r="A65" s="12"/>
      <c r="B65" s="25">
        <v>1</v>
      </c>
      <c r="C65" s="25" t="s">
        <v>563</v>
      </c>
      <c r="D65" s="13"/>
      <c r="E65" s="13"/>
      <c r="F65" s="13"/>
      <c r="G65" s="13"/>
      <c r="H65" s="13"/>
      <c r="I65" s="25" t="s">
        <v>8</v>
      </c>
      <c r="J65" s="14"/>
      <c r="K65" s="28" t="s">
        <v>914</v>
      </c>
      <c r="L65" s="30" t="s">
        <v>8</v>
      </c>
      <c r="M65" s="70">
        <v>54</v>
      </c>
      <c r="N65" s="70" t="s">
        <v>836</v>
      </c>
      <c r="O65" s="395">
        <f t="shared" si="0"/>
        <v>7.6333180000000009</v>
      </c>
    </row>
    <row r="66" spans="1:15">
      <c r="A66" s="12"/>
      <c r="B66" s="25">
        <v>1</v>
      </c>
      <c r="C66" s="25" t="s">
        <v>564</v>
      </c>
      <c r="D66" s="13"/>
      <c r="E66" s="13"/>
      <c r="F66" s="13"/>
      <c r="G66" s="13"/>
      <c r="H66" s="13"/>
      <c r="I66" s="25" t="s">
        <v>8</v>
      </c>
      <c r="J66" s="14"/>
      <c r="K66" s="28" t="s">
        <v>856</v>
      </c>
      <c r="L66" s="30" t="s">
        <v>8</v>
      </c>
      <c r="M66" s="70">
        <v>55</v>
      </c>
      <c r="N66" s="70" t="s">
        <v>837</v>
      </c>
      <c r="O66" s="395">
        <f t="shared" si="0"/>
        <v>6.7411120000000005E-2</v>
      </c>
    </row>
    <row r="67" spans="1:15">
      <c r="A67" s="12"/>
      <c r="B67" s="25">
        <v>1</v>
      </c>
      <c r="C67" s="25" t="s">
        <v>565</v>
      </c>
      <c r="D67" s="13"/>
      <c r="E67" s="13"/>
      <c r="F67" s="13"/>
      <c r="G67" s="13"/>
      <c r="H67" s="13"/>
      <c r="I67" s="25" t="s">
        <v>8</v>
      </c>
      <c r="J67" s="14"/>
      <c r="K67" s="28" t="s">
        <v>915</v>
      </c>
      <c r="L67" s="30" t="s">
        <v>8</v>
      </c>
      <c r="M67" s="70">
        <v>56</v>
      </c>
      <c r="N67" s="70" t="s">
        <v>838</v>
      </c>
      <c r="O67" s="395">
        <f t="shared" si="0"/>
        <v>8.1431500000000003</v>
      </c>
    </row>
    <row r="68" spans="1:15">
      <c r="A68" s="12"/>
      <c r="B68" s="25">
        <v>1</v>
      </c>
      <c r="C68" s="25" t="s">
        <v>566</v>
      </c>
      <c r="D68" s="13"/>
      <c r="E68" s="13"/>
      <c r="F68" s="13"/>
      <c r="G68" s="13"/>
      <c r="H68" s="13"/>
      <c r="I68" s="25" t="s">
        <v>8</v>
      </c>
      <c r="J68" s="14"/>
      <c r="K68" s="28" t="s">
        <v>857</v>
      </c>
      <c r="L68" s="30" t="s">
        <v>8</v>
      </c>
      <c r="M68" s="70">
        <v>57</v>
      </c>
      <c r="N68" s="70" t="s">
        <v>839</v>
      </c>
      <c r="O68" s="395">
        <f t="shared" si="0"/>
        <v>3.1864499999999998</v>
      </c>
    </row>
    <row r="69" spans="1:15">
      <c r="A69" s="12"/>
      <c r="B69" s="25">
        <v>1</v>
      </c>
      <c r="C69" s="25" t="s">
        <v>567</v>
      </c>
      <c r="D69" s="13"/>
      <c r="E69" s="13"/>
      <c r="F69" s="13"/>
      <c r="G69" s="13"/>
      <c r="H69" s="13"/>
      <c r="I69" s="25" t="s">
        <v>8</v>
      </c>
      <c r="J69" s="14"/>
      <c r="K69" s="28" t="s">
        <v>916</v>
      </c>
      <c r="L69" s="30" t="s">
        <v>8</v>
      </c>
      <c r="M69" s="70">
        <v>58</v>
      </c>
      <c r="N69" s="70" t="s">
        <v>840</v>
      </c>
      <c r="O69" s="395">
        <f t="shared" si="0"/>
        <v>13.949570000000001</v>
      </c>
    </row>
    <row r="70" spans="1:15">
      <c r="A70" s="12"/>
      <c r="B70" s="25">
        <v>1</v>
      </c>
      <c r="C70" s="25" t="s">
        <v>568</v>
      </c>
      <c r="D70" s="13"/>
      <c r="E70" s="13"/>
      <c r="F70" s="13"/>
      <c r="G70" s="13"/>
      <c r="H70" s="13"/>
      <c r="I70" s="25" t="s">
        <v>8</v>
      </c>
      <c r="J70" s="14"/>
      <c r="K70" s="28" t="s">
        <v>858</v>
      </c>
      <c r="L70" s="30" t="s">
        <v>8</v>
      </c>
      <c r="M70" s="70">
        <v>59</v>
      </c>
      <c r="N70" s="70" t="s">
        <v>841</v>
      </c>
      <c r="O70" s="395">
        <f t="shared" si="0"/>
        <v>199.6842</v>
      </c>
    </row>
    <row r="71" spans="1:15">
      <c r="A71" s="12"/>
      <c r="B71" s="25">
        <v>100</v>
      </c>
      <c r="C71" s="25" t="s">
        <v>569</v>
      </c>
      <c r="D71" s="13"/>
      <c r="E71" s="13"/>
      <c r="F71" s="13"/>
      <c r="G71" s="13"/>
      <c r="H71" s="13"/>
      <c r="I71" s="25" t="s">
        <v>8</v>
      </c>
      <c r="J71" s="14"/>
      <c r="K71" s="28" t="s">
        <v>917</v>
      </c>
      <c r="L71" s="30" t="s">
        <v>8</v>
      </c>
      <c r="M71" s="70">
        <v>60</v>
      </c>
      <c r="N71" s="70" t="s">
        <v>842</v>
      </c>
      <c r="O71" s="395">
        <f t="shared" si="0"/>
        <v>6.8402460000000003E-3</v>
      </c>
    </row>
    <row r="72" spans="1:15">
      <c r="A72" s="12"/>
      <c r="B72" s="25">
        <v>1</v>
      </c>
      <c r="C72" s="25" t="s">
        <v>570</v>
      </c>
      <c r="D72" s="13"/>
      <c r="E72" s="13"/>
      <c r="F72" s="13"/>
      <c r="G72" s="13"/>
      <c r="H72" s="13"/>
      <c r="I72" s="25" t="s">
        <v>8</v>
      </c>
      <c r="J72" s="14"/>
      <c r="K72" s="28" t="s">
        <v>918</v>
      </c>
      <c r="L72" s="30" t="s">
        <v>8</v>
      </c>
      <c r="M72" s="70">
        <v>61</v>
      </c>
      <c r="N72" s="70" t="s">
        <v>843</v>
      </c>
      <c r="O72" s="395">
        <f t="shared" si="0"/>
        <v>30.873160000000002</v>
      </c>
    </row>
    <row r="73" spans="1:15">
      <c r="A73" s="12"/>
      <c r="B73" s="25">
        <v>100</v>
      </c>
      <c r="C73" s="25" t="s">
        <v>571</v>
      </c>
      <c r="D73" s="13"/>
      <c r="E73" s="13"/>
      <c r="F73" s="19"/>
      <c r="G73" s="13"/>
      <c r="H73" s="14"/>
      <c r="I73" s="25" t="s">
        <v>8</v>
      </c>
      <c r="J73" s="13"/>
      <c r="K73" s="28" t="s">
        <v>919</v>
      </c>
      <c r="L73" s="30" t="s">
        <v>8</v>
      </c>
      <c r="M73" s="70">
        <v>62</v>
      </c>
      <c r="N73" s="70" t="s">
        <v>844</v>
      </c>
      <c r="O73" s="395">
        <f t="shared" si="0"/>
        <v>0.11457058000000001</v>
      </c>
    </row>
    <row r="74" spans="1:15">
      <c r="A74" s="12"/>
      <c r="B74" s="25">
        <v>1</v>
      </c>
      <c r="C74" s="25" t="s">
        <v>572</v>
      </c>
      <c r="D74" s="13"/>
      <c r="E74" s="13"/>
      <c r="F74" s="13"/>
      <c r="G74" s="14"/>
      <c r="H74" s="13"/>
      <c r="I74" s="25" t="s">
        <v>8</v>
      </c>
      <c r="J74" s="13"/>
      <c r="K74" s="28" t="s">
        <v>920</v>
      </c>
      <c r="L74" s="30" t="s">
        <v>8</v>
      </c>
      <c r="M74" s="70">
        <v>63</v>
      </c>
      <c r="N74" s="70" t="s">
        <v>845</v>
      </c>
      <c r="O74" s="395">
        <f t="shared" si="0"/>
        <v>1.5719820000000002</v>
      </c>
    </row>
    <row r="75" spans="1:15">
      <c r="A75" s="12"/>
      <c r="B75" s="14"/>
      <c r="C75" s="14"/>
      <c r="D75" s="14"/>
      <c r="E75" s="14"/>
      <c r="F75" s="33"/>
      <c r="G75" s="34"/>
      <c r="H75" s="19"/>
      <c r="I75" s="33"/>
      <c r="J75" s="13"/>
      <c r="K75" s="35"/>
      <c r="L75" s="36"/>
      <c r="M75" s="4"/>
      <c r="N75" s="1"/>
    </row>
    <row r="76" spans="1:15">
      <c r="A76" s="12"/>
      <c r="B76" s="13" t="s">
        <v>573</v>
      </c>
      <c r="C76" s="14"/>
      <c r="D76" s="13"/>
      <c r="E76" s="13"/>
      <c r="F76" s="37" t="s">
        <v>12</v>
      </c>
      <c r="G76" s="38"/>
      <c r="H76" s="14"/>
      <c r="I76" s="13"/>
      <c r="J76" s="14"/>
      <c r="K76" s="13"/>
      <c r="L76" s="18"/>
      <c r="M76" s="2"/>
      <c r="N76" s="1"/>
    </row>
    <row r="77" spans="1:15">
      <c r="A77" s="39"/>
      <c r="B77" s="40"/>
      <c r="C77" s="41"/>
      <c r="D77" s="42"/>
      <c r="E77" s="42"/>
      <c r="F77" s="43" t="s">
        <v>921</v>
      </c>
      <c r="G77" s="44"/>
      <c r="H77" s="45"/>
      <c r="I77" s="42"/>
      <c r="J77" s="45"/>
      <c r="K77" s="42"/>
      <c r="L77" s="46"/>
      <c r="M77" s="2"/>
      <c r="N77" s="1"/>
    </row>
    <row r="78" spans="1:15" s="6" customFormat="1" ht="13.5">
      <c r="A78" s="5"/>
      <c r="B78" s="5"/>
      <c r="C78" s="5" t="s">
        <v>13</v>
      </c>
      <c r="D78" s="5"/>
      <c r="E78" s="5"/>
      <c r="F78" s="5"/>
      <c r="G78" s="5"/>
      <c r="H78" s="5"/>
      <c r="I78" s="5"/>
      <c r="J78" s="5"/>
      <c r="K78" s="5"/>
      <c r="L78" s="5"/>
      <c r="M78" s="5"/>
      <c r="N78" s="5"/>
    </row>
  </sheetData>
  <protectedRanges>
    <protectedRange sqref="B13" name="範囲1_1_2"/>
  </protectedRange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workbookViewId="0">
      <selection activeCell="C51" sqref="C51"/>
    </sheetView>
  </sheetViews>
  <sheetFormatPr defaultColWidth="9" defaultRowHeight="14.2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c r="A1" s="3" t="s">
        <v>847</v>
      </c>
      <c r="E1" s="3" t="s">
        <v>946</v>
      </c>
    </row>
    <row r="3" spans="1:22" ht="17.25">
      <c r="A3" s="7" t="s">
        <v>947</v>
      </c>
      <c r="B3" s="8"/>
      <c r="C3" s="8"/>
      <c r="D3" s="8"/>
      <c r="E3" s="8"/>
      <c r="F3" s="8"/>
      <c r="G3" s="8"/>
      <c r="H3" s="8"/>
      <c r="I3" s="8"/>
      <c r="J3" s="9"/>
      <c r="K3" s="10">
        <v>45646</v>
      </c>
      <c r="L3" s="11"/>
      <c r="M3" s="1"/>
      <c r="N3" s="1"/>
    </row>
    <row r="4" spans="1:22">
      <c r="A4" s="12"/>
      <c r="B4" s="13"/>
      <c r="C4" s="13"/>
      <c r="D4" s="13"/>
      <c r="E4" s="13"/>
      <c r="F4" s="13"/>
      <c r="G4" s="13"/>
      <c r="H4" s="13"/>
      <c r="I4" s="13"/>
      <c r="J4" s="14"/>
      <c r="K4" s="15" t="s">
        <v>948</v>
      </c>
      <c r="L4" s="16"/>
      <c r="M4" s="1"/>
      <c r="N4" s="1"/>
    </row>
    <row r="5" spans="1:22">
      <c r="A5" s="12"/>
      <c r="B5" s="13"/>
      <c r="C5" s="13"/>
      <c r="D5" s="13"/>
      <c r="E5" s="13"/>
      <c r="F5" s="13"/>
      <c r="G5" s="13"/>
      <c r="H5" s="13"/>
      <c r="I5" s="13"/>
      <c r="J5" s="14"/>
      <c r="K5" s="14"/>
      <c r="L5" s="17"/>
      <c r="M5" s="1"/>
      <c r="N5" s="1"/>
    </row>
    <row r="6" spans="1:22">
      <c r="A6" s="12"/>
      <c r="B6" s="13" t="s">
        <v>9</v>
      </c>
      <c r="C6" s="14"/>
      <c r="D6" s="13"/>
      <c r="E6" s="13"/>
      <c r="F6" s="13"/>
      <c r="G6" s="13"/>
      <c r="H6" s="13"/>
      <c r="I6" s="13"/>
      <c r="J6" s="13"/>
      <c r="K6" s="13"/>
      <c r="L6" s="18"/>
      <c r="M6" s="2"/>
      <c r="N6" s="1"/>
    </row>
    <row r="7" spans="1:22">
      <c r="A7" s="12"/>
      <c r="B7" s="13" t="s">
        <v>949</v>
      </c>
      <c r="C7" s="14"/>
      <c r="D7" s="13"/>
      <c r="E7" s="13"/>
      <c r="F7" s="13"/>
      <c r="G7" s="13"/>
      <c r="H7" s="13"/>
      <c r="I7" s="13"/>
      <c r="J7" s="13"/>
      <c r="K7" s="13"/>
      <c r="L7" s="18"/>
      <c r="M7" s="2"/>
      <c r="N7" s="1"/>
    </row>
    <row r="8" spans="1:22">
      <c r="A8" s="12"/>
      <c r="B8" s="13" t="s">
        <v>10</v>
      </c>
      <c r="C8" s="14"/>
      <c r="D8" s="13"/>
      <c r="E8" s="13"/>
      <c r="F8" s="13"/>
      <c r="G8" s="13"/>
      <c r="H8" s="13"/>
      <c r="I8" s="13"/>
      <c r="J8" s="13"/>
      <c r="K8" s="13"/>
      <c r="L8" s="17"/>
      <c r="M8" s="2"/>
      <c r="N8" s="1"/>
    </row>
    <row r="9" spans="1:22">
      <c r="A9" s="12"/>
      <c r="B9" s="13"/>
      <c r="C9" s="19"/>
      <c r="D9" s="19"/>
      <c r="E9" s="14"/>
      <c r="F9" s="20"/>
      <c r="G9" s="14"/>
      <c r="H9" s="13"/>
      <c r="I9" s="14"/>
      <c r="J9" s="13"/>
      <c r="K9" s="13"/>
      <c r="L9" s="17"/>
      <c r="M9" s="2"/>
      <c r="N9" s="1"/>
    </row>
    <row r="10" spans="1:22">
      <c r="A10" s="12"/>
      <c r="B10" s="21" t="s">
        <v>950</v>
      </c>
      <c r="C10" s="14"/>
      <c r="D10" s="14"/>
      <c r="E10" s="14"/>
      <c r="F10" s="20"/>
      <c r="G10" s="14"/>
      <c r="H10" s="13"/>
      <c r="I10" s="14"/>
      <c r="J10" s="13"/>
      <c r="K10" s="13"/>
      <c r="L10" s="17"/>
      <c r="M10" s="2"/>
      <c r="N10" s="1"/>
    </row>
    <row r="11" spans="1:22">
      <c r="A11" s="12"/>
      <c r="B11" s="13"/>
      <c r="C11" s="13"/>
      <c r="D11" s="13"/>
      <c r="E11" s="13"/>
      <c r="F11" s="13"/>
      <c r="G11" s="13"/>
      <c r="H11" s="13"/>
      <c r="I11" s="13"/>
      <c r="J11" s="13"/>
      <c r="K11" s="13"/>
      <c r="L11" s="17"/>
      <c r="M11" s="362" t="s">
        <v>47</v>
      </c>
      <c r="N11" s="70" t="s">
        <v>14</v>
      </c>
      <c r="O11" s="71" t="s">
        <v>15</v>
      </c>
    </row>
    <row r="12" spans="1:22">
      <c r="A12" s="12"/>
      <c r="B12" s="14"/>
      <c r="C12" s="14"/>
      <c r="D12" s="14"/>
      <c r="E12" s="14"/>
      <c r="F12" s="14"/>
      <c r="G12" s="14"/>
      <c r="H12" s="14"/>
      <c r="I12" s="14"/>
      <c r="J12" s="14"/>
      <c r="K12" s="19"/>
      <c r="L12" s="22" t="s">
        <v>11</v>
      </c>
      <c r="M12" s="362">
        <v>1</v>
      </c>
      <c r="N12" s="71" t="s">
        <v>49</v>
      </c>
      <c r="O12" s="71">
        <v>1</v>
      </c>
    </row>
    <row r="13" spans="1:22">
      <c r="A13" s="12"/>
      <c r="B13" s="14">
        <v>157.83000000000001</v>
      </c>
      <c r="C13" s="23" t="s">
        <v>951</v>
      </c>
      <c r="D13" s="24">
        <f>B13</f>
        <v>157.83000000000001</v>
      </c>
      <c r="E13" s="14" t="s">
        <v>952</v>
      </c>
      <c r="F13" s="14"/>
      <c r="G13" s="14"/>
      <c r="H13" s="14"/>
      <c r="I13" s="25" t="s">
        <v>6</v>
      </c>
      <c r="J13" s="14"/>
      <c r="K13" s="26">
        <v>1</v>
      </c>
      <c r="L13" s="27" t="s">
        <v>7</v>
      </c>
      <c r="M13" s="362">
        <v>2</v>
      </c>
      <c r="N13" s="70" t="str">
        <f>L13&amp;" (USD)"</f>
        <v>米ドル (USD)</v>
      </c>
      <c r="O13" s="71">
        <f>B13</f>
        <v>157.83000000000001</v>
      </c>
    </row>
    <row r="14" spans="1:22">
      <c r="A14" s="12"/>
      <c r="B14" s="25">
        <v>1</v>
      </c>
      <c r="C14" s="25" t="s">
        <v>953</v>
      </c>
      <c r="D14" s="13"/>
      <c r="E14" s="13"/>
      <c r="F14" s="13"/>
      <c r="G14" s="13"/>
      <c r="H14" s="13"/>
      <c r="I14" s="25" t="s">
        <v>6</v>
      </c>
      <c r="J14" s="14"/>
      <c r="K14" s="28" t="s">
        <v>954</v>
      </c>
      <c r="L14" s="29" t="s">
        <v>7</v>
      </c>
      <c r="M14" s="362">
        <v>3</v>
      </c>
      <c r="N14" s="70" t="str">
        <f>SUBSTITUTE(C14,TEXT(B14,"g/標準")&amp;" ","")</f>
        <v>カナダ・ドル (CAD)</v>
      </c>
      <c r="O14" s="72">
        <f>VALUE($K14)/$B14*$B$13</f>
        <v>113.00628</v>
      </c>
      <c r="Q14" s="48"/>
      <c r="R14" s="47"/>
      <c r="S14" s="47"/>
      <c r="T14" s="47"/>
      <c r="V14" s="47">
        <f>VALUE($K14)/$B14*$B$13</f>
        <v>113.00628</v>
      </c>
    </row>
    <row r="15" spans="1:22">
      <c r="A15" s="12"/>
      <c r="B15" s="25">
        <v>1</v>
      </c>
      <c r="C15" s="25" t="s">
        <v>955</v>
      </c>
      <c r="D15" s="13"/>
      <c r="E15" s="13"/>
      <c r="F15" s="13"/>
      <c r="G15" s="13"/>
      <c r="H15" s="13"/>
      <c r="I15" s="25" t="s">
        <v>8</v>
      </c>
      <c r="J15" s="14"/>
      <c r="K15" s="28" t="s">
        <v>956</v>
      </c>
      <c r="L15" s="30" t="s">
        <v>8</v>
      </c>
      <c r="M15" s="362">
        <v>4</v>
      </c>
      <c r="N15" s="70" t="str">
        <f t="shared" ref="N15:N74" si="0">SUBSTITUTE(C15,TEXT(B15,"g/標準")&amp;" ","")</f>
        <v>中国元 (CNY)</v>
      </c>
      <c r="O15" s="72">
        <f t="shared" ref="O15:O74" si="1">VALUE($K15)/$B15*$B$13</f>
        <v>21.938370000000003</v>
      </c>
    </row>
    <row r="16" spans="1:22">
      <c r="A16" s="12"/>
      <c r="B16" s="25">
        <v>1</v>
      </c>
      <c r="C16" s="25" t="s">
        <v>957</v>
      </c>
      <c r="D16" s="13"/>
      <c r="E16" s="13"/>
      <c r="F16" s="13"/>
      <c r="G16" s="13"/>
      <c r="H16" s="13"/>
      <c r="I16" s="25" t="s">
        <v>8</v>
      </c>
      <c r="J16" s="14"/>
      <c r="K16" s="28" t="s">
        <v>901</v>
      </c>
      <c r="L16" s="30" t="s">
        <v>8</v>
      </c>
      <c r="M16" s="362">
        <v>5</v>
      </c>
      <c r="N16" s="70" t="str">
        <f t="shared" si="0"/>
        <v>スウェーデン・クローネ (SEK)</v>
      </c>
      <c r="O16" s="72">
        <f t="shared" si="1"/>
        <v>14.473011000000001</v>
      </c>
    </row>
    <row r="17" spans="1:15">
      <c r="A17" s="12"/>
      <c r="B17" s="25">
        <v>1</v>
      </c>
      <c r="C17" s="25" t="s">
        <v>958</v>
      </c>
      <c r="D17" s="13"/>
      <c r="E17" s="13"/>
      <c r="F17" s="13"/>
      <c r="G17" s="13"/>
      <c r="H17" s="13"/>
      <c r="I17" s="25" t="s">
        <v>8</v>
      </c>
      <c r="J17" s="14"/>
      <c r="K17" s="28" t="s">
        <v>959</v>
      </c>
      <c r="L17" s="30" t="s">
        <v>8</v>
      </c>
      <c r="M17" s="362">
        <v>6</v>
      </c>
      <c r="N17" s="70" t="str">
        <f t="shared" si="0"/>
        <v>スイス・フラン (CHF)</v>
      </c>
      <c r="O17" s="72">
        <f t="shared" si="1"/>
        <v>179.92619999999999</v>
      </c>
    </row>
    <row r="18" spans="1:15" ht="15.75" customHeight="1">
      <c r="A18" s="12"/>
      <c r="B18" s="25">
        <v>1</v>
      </c>
      <c r="C18" s="25" t="s">
        <v>960</v>
      </c>
      <c r="D18" s="13"/>
      <c r="E18" s="13"/>
      <c r="F18" s="13"/>
      <c r="G18" s="13"/>
      <c r="H18" s="13"/>
      <c r="I18" s="25" t="s">
        <v>8</v>
      </c>
      <c r="J18" s="14"/>
      <c r="K18" s="28" t="s">
        <v>961</v>
      </c>
      <c r="L18" s="30" t="s">
        <v>8</v>
      </c>
      <c r="M18" s="362">
        <v>7</v>
      </c>
      <c r="N18" s="70" t="str">
        <f t="shared" si="0"/>
        <v>スターリング・ポンド (GBP)</v>
      </c>
      <c r="O18" s="72">
        <f t="shared" si="1"/>
        <v>200.44410000000002</v>
      </c>
    </row>
    <row r="19" spans="1:15" ht="15.75" customHeight="1">
      <c r="A19" s="12"/>
      <c r="B19" s="25">
        <v>1</v>
      </c>
      <c r="C19" s="25" t="s">
        <v>962</v>
      </c>
      <c r="D19" s="13"/>
      <c r="E19" s="13"/>
      <c r="F19" s="13"/>
      <c r="G19" s="13"/>
      <c r="H19" s="13"/>
      <c r="I19" s="25" t="s">
        <v>8</v>
      </c>
      <c r="J19" s="14"/>
      <c r="K19" s="28" t="s">
        <v>963</v>
      </c>
      <c r="L19" s="30" t="s">
        <v>8</v>
      </c>
      <c r="M19" s="362">
        <v>8</v>
      </c>
      <c r="N19" s="70" t="str">
        <f t="shared" si="0"/>
        <v>ユーロ (EUR)</v>
      </c>
      <c r="O19" s="72">
        <f t="shared" si="1"/>
        <v>167.29980000000003</v>
      </c>
    </row>
    <row r="20" spans="1:15">
      <c r="A20" s="12"/>
      <c r="B20" s="25">
        <v>1</v>
      </c>
      <c r="C20" s="25" t="s">
        <v>964</v>
      </c>
      <c r="D20" s="13"/>
      <c r="E20" s="13"/>
      <c r="F20" s="13"/>
      <c r="G20" s="13"/>
      <c r="H20" s="13"/>
      <c r="I20" s="25" t="s">
        <v>8</v>
      </c>
      <c r="J20" s="14"/>
      <c r="K20" s="28" t="s">
        <v>850</v>
      </c>
      <c r="L20" s="30" t="s">
        <v>8</v>
      </c>
      <c r="M20" s="362">
        <v>9</v>
      </c>
      <c r="N20" s="70" t="str">
        <f t="shared" si="0"/>
        <v>アラブ首長国連邦ディルハム (AED)</v>
      </c>
      <c r="O20" s="72">
        <f t="shared" si="1"/>
        <v>42.929760000000009</v>
      </c>
    </row>
    <row r="21" spans="1:15">
      <c r="A21" s="12"/>
      <c r="B21" s="25">
        <v>1</v>
      </c>
      <c r="C21" s="25" t="s">
        <v>965</v>
      </c>
      <c r="D21" s="13"/>
      <c r="E21" s="13"/>
      <c r="F21" s="13"/>
      <c r="G21" s="13"/>
      <c r="H21" s="13"/>
      <c r="I21" s="25" t="s">
        <v>8</v>
      </c>
      <c r="J21" s="14"/>
      <c r="K21" s="28" t="s">
        <v>966</v>
      </c>
      <c r="L21" s="30" t="s">
        <v>8</v>
      </c>
      <c r="M21" s="362">
        <v>10</v>
      </c>
      <c r="N21" s="70" t="str">
        <f t="shared" si="0"/>
        <v>アルゼンチン・ペソ (ARS)</v>
      </c>
      <c r="O21" s="72">
        <f t="shared" si="1"/>
        <v>0.15783000000000003</v>
      </c>
    </row>
    <row r="22" spans="1:15">
      <c r="A22" s="12"/>
      <c r="B22" s="25">
        <v>1</v>
      </c>
      <c r="C22" s="25" t="s">
        <v>967</v>
      </c>
      <c r="D22" s="13"/>
      <c r="E22" s="13"/>
      <c r="F22" s="13"/>
      <c r="G22" s="13"/>
      <c r="H22" s="13"/>
      <c r="I22" s="25" t="s">
        <v>8</v>
      </c>
      <c r="J22" s="14"/>
      <c r="K22" s="28" t="s">
        <v>904</v>
      </c>
      <c r="L22" s="30" t="s">
        <v>8</v>
      </c>
      <c r="M22" s="362">
        <v>11</v>
      </c>
      <c r="N22" s="70" t="str">
        <f t="shared" si="0"/>
        <v>イスラエル・シェケル (ILS)</v>
      </c>
      <c r="O22" s="72">
        <f t="shared" si="1"/>
        <v>42.456270000000004</v>
      </c>
    </row>
    <row r="23" spans="1:15">
      <c r="A23" s="12"/>
      <c r="B23" s="25">
        <v>1</v>
      </c>
      <c r="C23" s="25" t="s">
        <v>968</v>
      </c>
      <c r="D23" s="13"/>
      <c r="E23" s="13"/>
      <c r="F23" s="31"/>
      <c r="G23" s="13"/>
      <c r="H23" s="13"/>
      <c r="I23" s="25" t="s">
        <v>8</v>
      </c>
      <c r="J23" s="14"/>
      <c r="K23" s="28" t="s">
        <v>879</v>
      </c>
      <c r="L23" s="30" t="s">
        <v>8</v>
      </c>
      <c r="M23" s="362">
        <v>12</v>
      </c>
      <c r="N23" s="70" t="str">
        <f t="shared" si="0"/>
        <v xml:space="preserve">イラン・リアル (IRR) </v>
      </c>
      <c r="O23" s="72">
        <f t="shared" si="1"/>
        <v>3.6300900000000002E-4</v>
      </c>
    </row>
    <row r="24" spans="1:15">
      <c r="A24" s="12"/>
      <c r="B24" s="25">
        <v>1</v>
      </c>
      <c r="C24" s="25" t="s">
        <v>969</v>
      </c>
      <c r="D24" s="13"/>
      <c r="E24" s="13"/>
      <c r="F24" s="13"/>
      <c r="G24" s="13"/>
      <c r="H24" s="13"/>
      <c r="I24" s="25" t="s">
        <v>8</v>
      </c>
      <c r="J24" s="14"/>
      <c r="K24" s="28" t="s">
        <v>970</v>
      </c>
      <c r="L24" s="30" t="s">
        <v>8</v>
      </c>
      <c r="M24" s="362">
        <v>13</v>
      </c>
      <c r="N24" s="70" t="str">
        <f t="shared" si="0"/>
        <v>インド・ルピー (INR)</v>
      </c>
      <c r="O24" s="72">
        <f t="shared" si="1"/>
        <v>1.8781770000000002</v>
      </c>
    </row>
    <row r="25" spans="1:15">
      <c r="A25" s="12"/>
      <c r="B25" s="25">
        <v>100</v>
      </c>
      <c r="C25" s="25" t="s">
        <v>971</v>
      </c>
      <c r="D25" s="13"/>
      <c r="E25" s="13"/>
      <c r="F25" s="13"/>
      <c r="G25" s="13"/>
      <c r="H25" s="13"/>
      <c r="I25" s="25" t="s">
        <v>8</v>
      </c>
      <c r="J25" s="14"/>
      <c r="K25" s="28" t="s">
        <v>972</v>
      </c>
      <c r="L25" s="30" t="s">
        <v>8</v>
      </c>
      <c r="M25" s="362">
        <v>14</v>
      </c>
      <c r="N25" s="70" t="str">
        <f t="shared" si="0"/>
        <v>インドネシア・ルピア (IDR)</v>
      </c>
      <c r="O25" s="72">
        <f t="shared" si="1"/>
        <v>9.9748560000000007E-3</v>
      </c>
    </row>
    <row r="26" spans="1:15">
      <c r="A26" s="12"/>
      <c r="B26" s="25">
        <v>1</v>
      </c>
      <c r="C26" s="25" t="s">
        <v>973</v>
      </c>
      <c r="D26" s="13"/>
      <c r="E26" s="13"/>
      <c r="F26" s="13"/>
      <c r="G26" s="13"/>
      <c r="H26" s="13"/>
      <c r="I26" s="25" t="s">
        <v>8</v>
      </c>
      <c r="J26" s="14"/>
      <c r="K26" s="28" t="s">
        <v>974</v>
      </c>
      <c r="L26" s="30" t="s">
        <v>8</v>
      </c>
      <c r="M26" s="362">
        <v>15</v>
      </c>
      <c r="N26" s="70" t="str">
        <f t="shared" si="0"/>
        <v>オーストラリア・ドル (AUD)</v>
      </c>
      <c r="O26" s="72">
        <f t="shared" si="1"/>
        <v>103.06299000000001</v>
      </c>
    </row>
    <row r="27" spans="1:15">
      <c r="A27" s="12"/>
      <c r="B27" s="25">
        <v>1</v>
      </c>
      <c r="C27" s="25" t="s">
        <v>975</v>
      </c>
      <c r="D27" s="13"/>
      <c r="E27" s="13"/>
      <c r="F27" s="13"/>
      <c r="G27" s="32"/>
      <c r="H27" s="13"/>
      <c r="I27" s="25" t="s">
        <v>8</v>
      </c>
      <c r="J27" s="14"/>
      <c r="K27" s="28" t="s">
        <v>525</v>
      </c>
      <c r="L27" s="30" t="s">
        <v>8</v>
      </c>
      <c r="M27" s="362">
        <v>16</v>
      </c>
      <c r="N27" s="70" t="str">
        <f t="shared" si="0"/>
        <v>オマーン・リアル (OMR)</v>
      </c>
      <c r="O27" s="72">
        <f t="shared" si="1"/>
        <v>410.35800000000006</v>
      </c>
    </row>
    <row r="28" spans="1:15">
      <c r="A28" s="12"/>
      <c r="B28" s="25">
        <v>1</v>
      </c>
      <c r="C28" s="25" t="s">
        <v>976</v>
      </c>
      <c r="D28" s="13"/>
      <c r="E28" s="13"/>
      <c r="F28" s="13"/>
      <c r="G28" s="13"/>
      <c r="H28" s="13"/>
      <c r="I28" s="25" t="s">
        <v>8</v>
      </c>
      <c r="J28" s="14"/>
      <c r="K28" s="28" t="s">
        <v>883</v>
      </c>
      <c r="L28" s="30" t="s">
        <v>8</v>
      </c>
      <c r="M28" s="362">
        <v>17</v>
      </c>
      <c r="N28" s="70" t="str">
        <f t="shared" si="0"/>
        <v>カタール・リアル (QAR)</v>
      </c>
      <c r="O28" s="72">
        <f t="shared" si="1"/>
        <v>43.24542000000001</v>
      </c>
    </row>
    <row r="29" spans="1:15">
      <c r="A29" s="12"/>
      <c r="B29" s="25">
        <v>100</v>
      </c>
      <c r="C29" s="25" t="s">
        <v>977</v>
      </c>
      <c r="D29" s="13"/>
      <c r="E29" s="13"/>
      <c r="F29" s="13"/>
      <c r="G29" s="13"/>
      <c r="H29" s="13"/>
      <c r="I29" s="25" t="s">
        <v>8</v>
      </c>
      <c r="J29" s="14"/>
      <c r="K29" s="28" t="s">
        <v>978</v>
      </c>
      <c r="L29" s="30" t="s">
        <v>8</v>
      </c>
      <c r="M29" s="362">
        <v>18</v>
      </c>
      <c r="N29" s="70" t="str">
        <f t="shared" si="0"/>
        <v>韓国ウォン (KRW)</v>
      </c>
      <c r="O29" s="72">
        <f t="shared" si="1"/>
        <v>0.11316411</v>
      </c>
    </row>
    <row r="30" spans="1:15">
      <c r="A30" s="12"/>
      <c r="B30" s="25">
        <v>100</v>
      </c>
      <c r="C30" s="25" t="s">
        <v>979</v>
      </c>
      <c r="D30" s="13"/>
      <c r="E30" s="13"/>
      <c r="F30" s="13"/>
      <c r="G30" s="13"/>
      <c r="H30" s="13"/>
      <c r="I30" s="25" t="s">
        <v>8</v>
      </c>
      <c r="J30" s="14"/>
      <c r="K30" s="28" t="s">
        <v>980</v>
      </c>
      <c r="L30" s="30" t="s">
        <v>8</v>
      </c>
      <c r="M30" s="362">
        <v>19</v>
      </c>
      <c r="N30" s="70" t="str">
        <f t="shared" si="0"/>
        <v>カンボジア・リエル (KHR)</v>
      </c>
      <c r="O30" s="72">
        <f t="shared" si="1"/>
        <v>3.8984009999999999E-2</v>
      </c>
    </row>
    <row r="31" spans="1:15">
      <c r="A31" s="12"/>
      <c r="B31" s="25">
        <v>1</v>
      </c>
      <c r="C31" s="25" t="s">
        <v>981</v>
      </c>
      <c r="D31" s="13"/>
      <c r="E31" s="13"/>
      <c r="F31" s="13"/>
      <c r="G31" s="13"/>
      <c r="H31" s="13"/>
      <c r="I31" s="25" t="s">
        <v>8</v>
      </c>
      <c r="J31" s="14"/>
      <c r="K31" s="28" t="s">
        <v>982</v>
      </c>
      <c r="L31" s="30" t="s">
        <v>8</v>
      </c>
      <c r="M31" s="362">
        <v>20</v>
      </c>
      <c r="N31" s="70" t="str">
        <f t="shared" si="0"/>
        <v>クウェート・ディナール (KWD)</v>
      </c>
      <c r="O31" s="72">
        <f t="shared" si="1"/>
        <v>512.94749999999999</v>
      </c>
    </row>
    <row r="32" spans="1:15">
      <c r="A32" s="12"/>
      <c r="B32" s="25">
        <v>1</v>
      </c>
      <c r="C32" s="25" t="s">
        <v>983</v>
      </c>
      <c r="D32" s="13"/>
      <c r="E32" s="13"/>
      <c r="F32" s="13"/>
      <c r="G32" s="13"/>
      <c r="H32" s="13"/>
      <c r="I32" s="25" t="s">
        <v>8</v>
      </c>
      <c r="J32" s="14"/>
      <c r="K32" s="28" t="s">
        <v>984</v>
      </c>
      <c r="L32" s="30" t="s">
        <v>8</v>
      </c>
      <c r="M32" s="362">
        <v>21</v>
      </c>
      <c r="N32" s="70" t="str">
        <f t="shared" si="0"/>
        <v>ケニア・シリング (KES)</v>
      </c>
      <c r="O32" s="72">
        <f t="shared" si="1"/>
        <v>1.2216042000000003</v>
      </c>
    </row>
    <row r="33" spans="1:15">
      <c r="A33" s="12"/>
      <c r="B33" s="25">
        <v>100</v>
      </c>
      <c r="C33" s="25" t="s">
        <v>985</v>
      </c>
      <c r="D33" s="13"/>
      <c r="E33" s="13"/>
      <c r="F33" s="13"/>
      <c r="G33" s="13"/>
      <c r="H33" s="13"/>
      <c r="I33" s="25" t="s">
        <v>8</v>
      </c>
      <c r="J33" s="14"/>
      <c r="K33" s="28" t="s">
        <v>986</v>
      </c>
      <c r="L33" s="30" t="s">
        <v>8</v>
      </c>
      <c r="M33" s="362">
        <v>22</v>
      </c>
      <c r="N33" s="70" t="str">
        <f t="shared" si="0"/>
        <v>コロンビア・ペソ (COP)</v>
      </c>
      <c r="O33" s="72">
        <f t="shared" si="1"/>
        <v>3.5827410000000004E-2</v>
      </c>
    </row>
    <row r="34" spans="1:15">
      <c r="A34" s="12"/>
      <c r="B34" s="25">
        <v>1</v>
      </c>
      <c r="C34" s="25" t="s">
        <v>987</v>
      </c>
      <c r="D34" s="13"/>
      <c r="E34" s="13"/>
      <c r="F34" s="13"/>
      <c r="G34" s="13"/>
      <c r="H34" s="13"/>
      <c r="I34" s="25" t="s">
        <v>8</v>
      </c>
      <c r="J34" s="14"/>
      <c r="K34" s="28" t="s">
        <v>852</v>
      </c>
      <c r="L34" s="30" t="s">
        <v>8</v>
      </c>
      <c r="M34" s="362">
        <v>23</v>
      </c>
      <c r="N34" s="70" t="str">
        <f t="shared" si="0"/>
        <v>サウジアラビア・リアル (SAR)</v>
      </c>
      <c r="O34" s="72">
        <f t="shared" si="1"/>
        <v>41.982780000000005</v>
      </c>
    </row>
    <row r="35" spans="1:15">
      <c r="A35" s="12"/>
      <c r="B35" s="25">
        <v>1</v>
      </c>
      <c r="C35" s="25" t="s">
        <v>988</v>
      </c>
      <c r="D35" s="13"/>
      <c r="E35" s="13"/>
      <c r="F35" s="13"/>
      <c r="G35" s="13"/>
      <c r="H35" s="13"/>
      <c r="I35" s="25" t="s">
        <v>8</v>
      </c>
      <c r="J35" s="14"/>
      <c r="K35" s="28" t="s">
        <v>989</v>
      </c>
      <c r="L35" s="30" t="s">
        <v>8</v>
      </c>
      <c r="M35" s="362">
        <v>24</v>
      </c>
      <c r="N35" s="70" t="str">
        <f t="shared" si="0"/>
        <v>シンガポール・ドル(SGD)</v>
      </c>
      <c r="O35" s="72">
        <f t="shared" si="1"/>
        <v>118.05684000000001</v>
      </c>
    </row>
    <row r="36" spans="1:15">
      <c r="A36" s="12"/>
      <c r="B36" s="25">
        <v>100</v>
      </c>
      <c r="C36" s="25" t="s">
        <v>990</v>
      </c>
      <c r="D36" s="13"/>
      <c r="E36" s="13"/>
      <c r="F36" s="13"/>
      <c r="G36" s="13"/>
      <c r="H36" s="13"/>
      <c r="I36" s="25" t="s">
        <v>8</v>
      </c>
      <c r="J36" s="14"/>
      <c r="K36" s="28" t="s">
        <v>991</v>
      </c>
      <c r="L36" s="30" t="s">
        <v>8</v>
      </c>
      <c r="M36" s="362">
        <v>25</v>
      </c>
      <c r="N36" s="70" t="str">
        <f t="shared" si="0"/>
        <v>新台湾ドル (TWD)</v>
      </c>
      <c r="O36" s="72">
        <f t="shared" si="1"/>
        <v>4.8769469999999995</v>
      </c>
    </row>
    <row r="37" spans="1:15">
      <c r="A37" s="12"/>
      <c r="B37" s="25">
        <v>100</v>
      </c>
      <c r="C37" s="25" t="s">
        <v>992</v>
      </c>
      <c r="D37" s="13"/>
      <c r="E37" s="13"/>
      <c r="F37" s="13"/>
      <c r="G37" s="13"/>
      <c r="H37" s="13"/>
      <c r="I37" s="25" t="s">
        <v>8</v>
      </c>
      <c r="J37" s="14"/>
      <c r="K37" s="28" t="s">
        <v>993</v>
      </c>
      <c r="L37" s="30" t="s">
        <v>8</v>
      </c>
      <c r="M37" s="362">
        <v>26</v>
      </c>
      <c r="N37" s="70" t="str">
        <f t="shared" si="0"/>
        <v>スリランカ・ルピー (LKR)</v>
      </c>
      <c r="O37" s="72">
        <f t="shared" si="1"/>
        <v>0.54135690000000014</v>
      </c>
    </row>
    <row r="38" spans="1:15">
      <c r="A38" s="12"/>
      <c r="B38" s="25">
        <v>1</v>
      </c>
      <c r="C38" s="25" t="s">
        <v>994</v>
      </c>
      <c r="D38" s="13"/>
      <c r="E38" s="13"/>
      <c r="F38" s="13"/>
      <c r="G38" s="13"/>
      <c r="H38" s="13"/>
      <c r="I38" s="25" t="s">
        <v>8</v>
      </c>
      <c r="J38" s="14"/>
      <c r="K38" s="28" t="s">
        <v>995</v>
      </c>
      <c r="L38" s="30" t="s">
        <v>8</v>
      </c>
      <c r="M38" s="362">
        <v>27</v>
      </c>
      <c r="N38" s="70" t="str">
        <f t="shared" si="0"/>
        <v>セーシェル・ルピー (SCR)</v>
      </c>
      <c r="O38" s="72">
        <f t="shared" si="1"/>
        <v>11.221713000000001</v>
      </c>
    </row>
    <row r="39" spans="1:15">
      <c r="A39" s="12"/>
      <c r="B39" s="25">
        <v>100</v>
      </c>
      <c r="C39" s="25" t="s">
        <v>996</v>
      </c>
      <c r="D39" s="13"/>
      <c r="E39" s="13"/>
      <c r="F39" s="13"/>
      <c r="G39" s="13"/>
      <c r="H39" s="13"/>
      <c r="I39" s="25" t="s">
        <v>8</v>
      </c>
      <c r="J39" s="14"/>
      <c r="K39" s="28" t="s">
        <v>997</v>
      </c>
      <c r="L39" s="30" t="s">
        <v>8</v>
      </c>
      <c r="M39" s="362">
        <v>28</v>
      </c>
      <c r="N39" s="70" t="str">
        <f t="shared" si="0"/>
        <v>タイ・バーツ (THB)</v>
      </c>
      <c r="O39" s="72">
        <f t="shared" si="1"/>
        <v>4.57707</v>
      </c>
    </row>
    <row r="40" spans="1:15">
      <c r="A40" s="12"/>
      <c r="B40" s="25">
        <v>100</v>
      </c>
      <c r="C40" s="25" t="s">
        <v>998</v>
      </c>
      <c r="D40" s="13"/>
      <c r="E40" s="13"/>
      <c r="F40" s="13"/>
      <c r="G40" s="13"/>
      <c r="H40" s="13"/>
      <c r="I40" s="25" t="s">
        <v>8</v>
      </c>
      <c r="J40" s="14"/>
      <c r="K40" s="28" t="s">
        <v>999</v>
      </c>
      <c r="L40" s="30" t="s">
        <v>8</v>
      </c>
      <c r="M40" s="362">
        <v>29</v>
      </c>
      <c r="N40" s="70" t="str">
        <f t="shared" si="0"/>
        <v>タヒチ・パシフィックフラン (XPF)</v>
      </c>
      <c r="O40" s="72">
        <f t="shared" si="1"/>
        <v>1.4094219000000001</v>
      </c>
    </row>
    <row r="41" spans="1:15">
      <c r="A41" s="12"/>
      <c r="B41" s="25">
        <v>1</v>
      </c>
      <c r="C41" s="25" t="s">
        <v>1000</v>
      </c>
      <c r="D41" s="13"/>
      <c r="E41" s="13"/>
      <c r="F41" s="13"/>
      <c r="G41" s="13"/>
      <c r="H41" s="13"/>
      <c r="I41" s="25" t="s">
        <v>8</v>
      </c>
      <c r="J41" s="14"/>
      <c r="K41" s="28" t="s">
        <v>1001</v>
      </c>
      <c r="L41" s="30" t="s">
        <v>8</v>
      </c>
      <c r="M41" s="362">
        <v>30</v>
      </c>
      <c r="N41" s="70" t="str">
        <f t="shared" si="0"/>
        <v>チェコ・コルナ (CZK)</v>
      </c>
      <c r="O41" s="72">
        <f t="shared" si="1"/>
        <v>6.6288600000000013</v>
      </c>
    </row>
    <row r="42" spans="1:15">
      <c r="A42" s="12"/>
      <c r="B42" s="25">
        <v>100</v>
      </c>
      <c r="C42" s="25" t="s">
        <v>1002</v>
      </c>
      <c r="D42" s="13"/>
      <c r="E42" s="13"/>
      <c r="F42" s="13"/>
      <c r="G42" s="13"/>
      <c r="H42" s="13"/>
      <c r="I42" s="25" t="s">
        <v>8</v>
      </c>
      <c r="J42" s="14"/>
      <c r="K42" s="28" t="s">
        <v>1003</v>
      </c>
      <c r="L42" s="30" t="s">
        <v>8</v>
      </c>
      <c r="M42" s="362">
        <v>31</v>
      </c>
      <c r="N42" s="70" t="str">
        <f t="shared" si="0"/>
        <v>チリ・ペソ (CLP)</v>
      </c>
      <c r="O42" s="72">
        <f t="shared" si="1"/>
        <v>0.16256489999999998</v>
      </c>
    </row>
    <row r="43" spans="1:15">
      <c r="A43" s="12"/>
      <c r="B43" s="25">
        <v>1</v>
      </c>
      <c r="C43" s="25" t="s">
        <v>1004</v>
      </c>
      <c r="D43" s="13"/>
      <c r="E43" s="13"/>
      <c r="F43" s="13"/>
      <c r="G43" s="13"/>
      <c r="H43" s="13"/>
      <c r="I43" s="25" t="s">
        <v>8</v>
      </c>
      <c r="J43" s="14"/>
      <c r="K43" s="28" t="s">
        <v>1005</v>
      </c>
      <c r="L43" s="30" t="s">
        <v>8</v>
      </c>
      <c r="M43" s="362">
        <v>32</v>
      </c>
      <c r="N43" s="70" t="str">
        <f t="shared" si="0"/>
        <v>デンマーク・クローネ (DKK)</v>
      </c>
      <c r="O43" s="72">
        <f t="shared" si="1"/>
        <v>22.411860000000001</v>
      </c>
    </row>
    <row r="44" spans="1:15">
      <c r="A44" s="12"/>
      <c r="B44" s="25">
        <v>1</v>
      </c>
      <c r="C44" s="25" t="s">
        <v>1006</v>
      </c>
      <c r="D44" s="13"/>
      <c r="E44" s="13"/>
      <c r="F44" s="13"/>
      <c r="G44" s="13"/>
      <c r="H44" s="13"/>
      <c r="I44" s="25" t="s">
        <v>8</v>
      </c>
      <c r="J44" s="14"/>
      <c r="K44" s="28" t="s">
        <v>853</v>
      </c>
      <c r="L44" s="30" t="s">
        <v>8</v>
      </c>
      <c r="M44" s="362">
        <v>33</v>
      </c>
      <c r="N44" s="70" t="str">
        <f t="shared" si="0"/>
        <v>トリニダード・トバゴ・ドル (TTD)</v>
      </c>
      <c r="O44" s="72">
        <f t="shared" si="1"/>
        <v>23.358840000000001</v>
      </c>
    </row>
    <row r="45" spans="1:15">
      <c r="A45" s="12"/>
      <c r="B45" s="25">
        <v>1</v>
      </c>
      <c r="C45" s="25" t="s">
        <v>1007</v>
      </c>
      <c r="D45" s="13"/>
      <c r="E45" s="13"/>
      <c r="F45" s="13"/>
      <c r="G45" s="13"/>
      <c r="H45" s="13"/>
      <c r="I45" s="25" t="s">
        <v>8</v>
      </c>
      <c r="J45" s="14"/>
      <c r="K45" s="28" t="s">
        <v>1008</v>
      </c>
      <c r="L45" s="30" t="s">
        <v>8</v>
      </c>
      <c r="M45" s="362">
        <v>34</v>
      </c>
      <c r="N45" s="70" t="str">
        <f t="shared" si="0"/>
        <v>トルコ・リラ (TRY)</v>
      </c>
      <c r="O45" s="72">
        <f t="shared" si="1"/>
        <v>4.5770700000000009</v>
      </c>
    </row>
    <row r="46" spans="1:15">
      <c r="A46" s="12"/>
      <c r="B46" s="25">
        <v>1</v>
      </c>
      <c r="C46" s="25" t="s">
        <v>1009</v>
      </c>
      <c r="D46" s="13"/>
      <c r="E46" s="13"/>
      <c r="F46" s="13"/>
      <c r="G46" s="13"/>
      <c r="H46" s="13"/>
      <c r="I46" s="25" t="s">
        <v>8</v>
      </c>
      <c r="J46" s="14"/>
      <c r="K46" s="28" t="s">
        <v>1010</v>
      </c>
      <c r="L46" s="30" t="s">
        <v>8</v>
      </c>
      <c r="M46" s="362">
        <v>35</v>
      </c>
      <c r="N46" s="70" t="str">
        <f t="shared" si="0"/>
        <v>ナイジェリア・ナイラ (NGN)</v>
      </c>
      <c r="O46" s="72">
        <f t="shared" si="1"/>
        <v>9.4224510000000011E-2</v>
      </c>
    </row>
    <row r="47" spans="1:15">
      <c r="A47" s="12"/>
      <c r="B47" s="25">
        <v>1</v>
      </c>
      <c r="C47" s="25" t="s">
        <v>1011</v>
      </c>
      <c r="D47" s="13"/>
      <c r="E47" s="13"/>
      <c r="F47" s="13"/>
      <c r="G47" s="13"/>
      <c r="H47" s="13"/>
      <c r="I47" s="25" t="s">
        <v>8</v>
      </c>
      <c r="J47" s="14"/>
      <c r="K47" s="28" t="s">
        <v>1012</v>
      </c>
      <c r="L47" s="30" t="s">
        <v>8</v>
      </c>
      <c r="M47" s="362">
        <v>36</v>
      </c>
      <c r="N47" s="70" t="str">
        <f t="shared" si="0"/>
        <v>ニュージーランド・ドル (NZD)</v>
      </c>
      <c r="O47" s="72">
        <f t="shared" si="1"/>
        <v>93.277529999999999</v>
      </c>
    </row>
    <row r="48" spans="1:15">
      <c r="A48" s="12"/>
      <c r="B48" s="25">
        <v>1</v>
      </c>
      <c r="C48" s="25" t="s">
        <v>1013</v>
      </c>
      <c r="D48" s="13"/>
      <c r="E48" s="13"/>
      <c r="F48" s="13"/>
      <c r="G48" s="13"/>
      <c r="H48" s="13"/>
      <c r="I48" s="25" t="s">
        <v>8</v>
      </c>
      <c r="J48" s="14"/>
      <c r="K48" s="28" t="s">
        <v>1014</v>
      </c>
      <c r="L48" s="30" t="s">
        <v>8</v>
      </c>
      <c r="M48" s="362">
        <v>37</v>
      </c>
      <c r="N48" s="70" t="str">
        <f t="shared" si="0"/>
        <v>ノルウェー・クローネ (NOK)</v>
      </c>
      <c r="O48" s="72">
        <f t="shared" si="1"/>
        <v>14.283615000000001</v>
      </c>
    </row>
    <row r="49" spans="1:15">
      <c r="A49" s="12"/>
      <c r="B49" s="25">
        <v>1</v>
      </c>
      <c r="C49" s="25" t="s">
        <v>1015</v>
      </c>
      <c r="D49" s="13"/>
      <c r="E49" s="13"/>
      <c r="F49" s="13"/>
      <c r="G49" s="13"/>
      <c r="H49" s="13"/>
      <c r="I49" s="25" t="s">
        <v>8</v>
      </c>
      <c r="J49" s="14"/>
      <c r="K49" s="28" t="s">
        <v>1016</v>
      </c>
      <c r="L49" s="30" t="s">
        <v>8</v>
      </c>
      <c r="M49" s="362">
        <v>38</v>
      </c>
      <c r="N49" s="70" t="str">
        <f t="shared" si="0"/>
        <v>パキスタン・ルピー (PKR)</v>
      </c>
      <c r="O49" s="72">
        <f t="shared" si="1"/>
        <v>0.56818800000000003</v>
      </c>
    </row>
    <row r="50" spans="1:15">
      <c r="A50" s="12"/>
      <c r="B50" s="25">
        <v>100</v>
      </c>
      <c r="C50" s="25" t="s">
        <v>1017</v>
      </c>
      <c r="D50" s="13"/>
      <c r="E50" s="13"/>
      <c r="F50" s="13"/>
      <c r="G50" s="13"/>
      <c r="H50" s="13"/>
      <c r="I50" s="25" t="s">
        <v>8</v>
      </c>
      <c r="J50" s="14"/>
      <c r="K50" s="28" t="s">
        <v>1018</v>
      </c>
      <c r="L50" s="30" t="s">
        <v>1019</v>
      </c>
      <c r="M50" s="362">
        <v>39</v>
      </c>
      <c r="N50" s="70" t="str">
        <f t="shared" si="0"/>
        <v>バヌアツ・バツ (VUV)</v>
      </c>
      <c r="O50" s="72">
        <f t="shared" si="1"/>
        <v>1.2973626</v>
      </c>
    </row>
    <row r="51" spans="1:15">
      <c r="A51" s="12"/>
      <c r="B51" s="25">
        <v>1</v>
      </c>
      <c r="C51" s="25" t="s">
        <v>1020</v>
      </c>
      <c r="D51" s="13"/>
      <c r="E51" s="13"/>
      <c r="F51" s="13"/>
      <c r="G51" s="13"/>
      <c r="H51" s="13"/>
      <c r="I51" s="25" t="s">
        <v>8</v>
      </c>
      <c r="J51" s="14"/>
      <c r="K51" s="28" t="s">
        <v>1021</v>
      </c>
      <c r="L51" s="30" t="s">
        <v>8</v>
      </c>
      <c r="M51" s="362">
        <v>40</v>
      </c>
      <c r="N51" s="70" t="str">
        <f t="shared" si="0"/>
        <v>パプアニューギニア・キナ (PGK)</v>
      </c>
      <c r="O51" s="72">
        <f t="shared" si="1"/>
        <v>39.930990000000001</v>
      </c>
    </row>
    <row r="52" spans="1:15">
      <c r="A52" s="12"/>
      <c r="B52" s="25">
        <v>1</v>
      </c>
      <c r="C52" s="25" t="s">
        <v>1022</v>
      </c>
      <c r="D52" s="13"/>
      <c r="E52" s="13"/>
      <c r="F52" s="13"/>
      <c r="G52" s="13"/>
      <c r="H52" s="13"/>
      <c r="I52" s="25" t="s">
        <v>8</v>
      </c>
      <c r="J52" s="14"/>
      <c r="K52" s="28" t="s">
        <v>854</v>
      </c>
      <c r="L52" s="30" t="s">
        <v>8</v>
      </c>
      <c r="M52" s="362">
        <v>41</v>
      </c>
      <c r="N52" s="70" t="str">
        <f t="shared" si="0"/>
        <v>バーレーン・ディナール (BHD)</v>
      </c>
      <c r="O52" s="72">
        <f t="shared" si="1"/>
        <v>418.24950000000001</v>
      </c>
    </row>
    <row r="53" spans="1:15">
      <c r="A53" s="12"/>
      <c r="B53" s="25">
        <v>100</v>
      </c>
      <c r="C53" s="25" t="s">
        <v>1023</v>
      </c>
      <c r="D53" s="13"/>
      <c r="E53" s="13"/>
      <c r="F53" s="13"/>
      <c r="G53" s="13"/>
      <c r="H53" s="13"/>
      <c r="I53" s="25" t="s">
        <v>8</v>
      </c>
      <c r="J53" s="14"/>
      <c r="K53" s="28" t="s">
        <v>1024</v>
      </c>
      <c r="L53" s="30" t="s">
        <v>8</v>
      </c>
      <c r="M53" s="362">
        <v>42</v>
      </c>
      <c r="N53" s="70" t="str">
        <f t="shared" si="0"/>
        <v>ハンガリー・フォリント (HUF)</v>
      </c>
      <c r="O53" s="72">
        <f t="shared" si="1"/>
        <v>0.40877970000000008</v>
      </c>
    </row>
    <row r="54" spans="1:15">
      <c r="A54" s="12"/>
      <c r="B54" s="25">
        <v>100</v>
      </c>
      <c r="C54" s="25" t="s">
        <v>1025</v>
      </c>
      <c r="D54" s="13"/>
      <c r="E54" s="13"/>
      <c r="F54" s="13"/>
      <c r="G54" s="13"/>
      <c r="H54" s="13"/>
      <c r="I54" s="25" t="s">
        <v>8</v>
      </c>
      <c r="J54" s="14"/>
      <c r="K54" s="28" t="s">
        <v>1026</v>
      </c>
      <c r="L54" s="30" t="s">
        <v>8</v>
      </c>
      <c r="M54" s="362">
        <v>43</v>
      </c>
      <c r="N54" s="70" t="str">
        <f t="shared" si="0"/>
        <v>バングラデシュ・タカ (BDT)</v>
      </c>
      <c r="O54" s="72">
        <f t="shared" si="1"/>
        <v>1.3210370999999999</v>
      </c>
    </row>
    <row r="55" spans="1:15">
      <c r="A55" s="12"/>
      <c r="B55" s="25">
        <v>1</v>
      </c>
      <c r="C55" s="25" t="s">
        <v>1027</v>
      </c>
      <c r="D55" s="13"/>
      <c r="E55" s="13"/>
      <c r="F55" s="13"/>
      <c r="G55" s="13"/>
      <c r="H55" s="13"/>
      <c r="I55" s="25" t="s">
        <v>8</v>
      </c>
      <c r="J55" s="14"/>
      <c r="K55" s="28" t="s">
        <v>1028</v>
      </c>
      <c r="L55" s="30" t="s">
        <v>8</v>
      </c>
      <c r="M55" s="362">
        <v>44</v>
      </c>
      <c r="N55" s="70" t="str">
        <f t="shared" si="0"/>
        <v>フィジー・ドル (FJD)</v>
      </c>
      <c r="O55" s="72">
        <f t="shared" si="1"/>
        <v>69.28737000000001</v>
      </c>
    </row>
    <row r="56" spans="1:15">
      <c r="A56" s="12"/>
      <c r="B56" s="25">
        <v>1</v>
      </c>
      <c r="C56" s="25" t="s">
        <v>1029</v>
      </c>
      <c r="D56" s="13"/>
      <c r="E56" s="13"/>
      <c r="F56" s="13"/>
      <c r="G56" s="13"/>
      <c r="H56" s="13"/>
      <c r="I56" s="25" t="s">
        <v>8</v>
      </c>
      <c r="J56" s="13"/>
      <c r="K56" s="28" t="s">
        <v>1030</v>
      </c>
      <c r="L56" s="30" t="s">
        <v>8</v>
      </c>
      <c r="M56" s="362">
        <v>45</v>
      </c>
      <c r="N56" s="70" t="str">
        <f t="shared" si="0"/>
        <v>フィリピン・ペソ (PHP)</v>
      </c>
      <c r="O56" s="72">
        <f t="shared" si="1"/>
        <v>2.6831100000000006</v>
      </c>
    </row>
    <row r="57" spans="1:15">
      <c r="A57" s="12"/>
      <c r="B57" s="25">
        <v>1</v>
      </c>
      <c r="C57" s="25" t="s">
        <v>1031</v>
      </c>
      <c r="D57" s="13"/>
      <c r="E57" s="13"/>
      <c r="F57" s="13"/>
      <c r="G57" s="13"/>
      <c r="H57" s="13"/>
      <c r="I57" s="25" t="s">
        <v>8</v>
      </c>
      <c r="J57" s="14"/>
      <c r="K57" s="28" t="s">
        <v>1032</v>
      </c>
      <c r="L57" s="30" t="s">
        <v>8</v>
      </c>
      <c r="M57" s="362">
        <v>46</v>
      </c>
      <c r="N57" s="70" t="str">
        <f t="shared" si="0"/>
        <v>ブラジル・レアル (BRL)</v>
      </c>
      <c r="O57" s="72">
        <f t="shared" si="1"/>
        <v>27.14676</v>
      </c>
    </row>
    <row r="58" spans="1:15">
      <c r="A58" s="12"/>
      <c r="B58" s="25">
        <v>1</v>
      </c>
      <c r="C58" s="25" t="s">
        <v>1033</v>
      </c>
      <c r="D58" s="13"/>
      <c r="E58" s="13"/>
      <c r="F58" s="13"/>
      <c r="G58" s="13"/>
      <c r="H58" s="13"/>
      <c r="I58" s="25" t="s">
        <v>8</v>
      </c>
      <c r="J58" s="14"/>
      <c r="K58" s="28" t="s">
        <v>989</v>
      </c>
      <c r="L58" s="30" t="s">
        <v>8</v>
      </c>
      <c r="M58" s="362">
        <v>47</v>
      </c>
      <c r="N58" s="70" t="str">
        <f t="shared" si="0"/>
        <v>ブルネイ・ドル (BND)</v>
      </c>
      <c r="O58" s="72">
        <f t="shared" si="1"/>
        <v>118.05684000000001</v>
      </c>
    </row>
    <row r="59" spans="1:15">
      <c r="A59" s="12"/>
      <c r="B59" s="25">
        <v>100</v>
      </c>
      <c r="C59" s="25" t="s">
        <v>1034</v>
      </c>
      <c r="D59" s="13"/>
      <c r="E59" s="13"/>
      <c r="F59" s="13"/>
      <c r="G59" s="13"/>
      <c r="H59" s="13"/>
      <c r="I59" s="25" t="s">
        <v>8</v>
      </c>
      <c r="J59" s="14"/>
      <c r="K59" s="28" t="s">
        <v>1035</v>
      </c>
      <c r="L59" s="30" t="s">
        <v>8</v>
      </c>
      <c r="M59" s="362">
        <v>48</v>
      </c>
      <c r="N59" s="70" t="str">
        <f t="shared" si="0"/>
        <v>ベトナム・ドン (VND)</v>
      </c>
      <c r="O59" s="72">
        <f t="shared" si="1"/>
        <v>6.2185020000000008E-3</v>
      </c>
    </row>
    <row r="60" spans="1:15">
      <c r="A60" s="12"/>
      <c r="B60" s="25">
        <v>1</v>
      </c>
      <c r="C60" s="25" t="s">
        <v>1036</v>
      </c>
      <c r="D60" s="13"/>
      <c r="E60" s="13"/>
      <c r="F60" s="13"/>
      <c r="G60" s="13"/>
      <c r="H60" s="13"/>
      <c r="I60" s="25" t="s">
        <v>8</v>
      </c>
      <c r="J60" s="14"/>
      <c r="K60" s="28" t="s">
        <v>1037</v>
      </c>
      <c r="L60" s="30" t="s">
        <v>8</v>
      </c>
      <c r="M60" s="362">
        <v>49</v>
      </c>
      <c r="N60" s="70" t="str">
        <f t="shared" si="0"/>
        <v>ベネズエラ・ボリーバル (VES)</v>
      </c>
      <c r="O60" s="72">
        <f t="shared" si="1"/>
        <v>3.5038260000000006</v>
      </c>
    </row>
    <row r="61" spans="1:15">
      <c r="A61" s="12"/>
      <c r="B61" s="25">
        <v>1</v>
      </c>
      <c r="C61" s="25" t="s">
        <v>1038</v>
      </c>
      <c r="D61" s="13"/>
      <c r="E61" s="13"/>
      <c r="F61" s="13"/>
      <c r="G61" s="13"/>
      <c r="H61" s="13"/>
      <c r="I61" s="25" t="s">
        <v>8</v>
      </c>
      <c r="J61" s="14"/>
      <c r="K61" s="28" t="s">
        <v>1039</v>
      </c>
      <c r="L61" s="30" t="s">
        <v>8</v>
      </c>
      <c r="M61" s="362">
        <v>50</v>
      </c>
      <c r="N61" s="70" t="str">
        <f t="shared" si="0"/>
        <v>ペルー・ヌエボ・ソル (PEN)</v>
      </c>
      <c r="O61" s="72">
        <f t="shared" si="1"/>
        <v>41.824950000000008</v>
      </c>
    </row>
    <row r="62" spans="1:15">
      <c r="A62" s="12"/>
      <c r="B62" s="25">
        <v>1</v>
      </c>
      <c r="C62" s="25" t="s">
        <v>1040</v>
      </c>
      <c r="D62" s="13"/>
      <c r="E62" s="13"/>
      <c r="F62" s="13"/>
      <c r="G62" s="13"/>
      <c r="H62" s="13"/>
      <c r="I62" s="25" t="s">
        <v>8</v>
      </c>
      <c r="J62" s="14"/>
      <c r="K62" s="28" t="s">
        <v>1041</v>
      </c>
      <c r="L62" s="30" t="s">
        <v>8</v>
      </c>
      <c r="M62" s="362">
        <v>51</v>
      </c>
      <c r="N62" s="70" t="str">
        <f t="shared" si="0"/>
        <v>ポーランド・ズロチ (PLN)</v>
      </c>
      <c r="O62" s="72">
        <f t="shared" si="1"/>
        <v>38.668350000000004</v>
      </c>
    </row>
    <row r="63" spans="1:15">
      <c r="A63" s="12"/>
      <c r="B63" s="25">
        <v>1</v>
      </c>
      <c r="C63" s="25" t="s">
        <v>1042</v>
      </c>
      <c r="D63" s="13"/>
      <c r="E63" s="13"/>
      <c r="F63" s="13"/>
      <c r="G63" s="13"/>
      <c r="H63" s="13"/>
      <c r="I63" s="25" t="s">
        <v>8</v>
      </c>
      <c r="J63" s="14"/>
      <c r="K63" s="28" t="s">
        <v>1043</v>
      </c>
      <c r="L63" s="30" t="s">
        <v>8</v>
      </c>
      <c r="M63" s="362">
        <v>52</v>
      </c>
      <c r="N63" s="70" t="str">
        <f t="shared" si="0"/>
        <v>香港ドル (HKD)</v>
      </c>
      <c r="O63" s="72">
        <f t="shared" si="1"/>
        <v>20.360070000000004</v>
      </c>
    </row>
    <row r="64" spans="1:15">
      <c r="A64" s="12"/>
      <c r="B64" s="25">
        <v>1</v>
      </c>
      <c r="C64" s="25" t="s">
        <v>1044</v>
      </c>
      <c r="D64" s="13"/>
      <c r="E64" s="13"/>
      <c r="F64" s="13"/>
      <c r="G64" s="13"/>
      <c r="H64" s="13"/>
      <c r="I64" s="25" t="s">
        <v>8</v>
      </c>
      <c r="J64" s="14"/>
      <c r="K64" s="28" t="s">
        <v>1045</v>
      </c>
      <c r="L64" s="30" t="s">
        <v>8</v>
      </c>
      <c r="M64" s="362">
        <v>53</v>
      </c>
      <c r="N64" s="70" t="str">
        <f t="shared" si="0"/>
        <v>マレーシア・リンギット (MYR)</v>
      </c>
      <c r="O64" s="72">
        <f t="shared" si="1"/>
        <v>35.511750000000006</v>
      </c>
    </row>
    <row r="65" spans="1:15">
      <c r="A65" s="12"/>
      <c r="B65" s="25">
        <v>1</v>
      </c>
      <c r="C65" s="25" t="s">
        <v>1046</v>
      </c>
      <c r="D65" s="13"/>
      <c r="E65" s="13"/>
      <c r="F65" s="13"/>
      <c r="G65" s="13"/>
      <c r="H65" s="13"/>
      <c r="I65" s="25" t="s">
        <v>8</v>
      </c>
      <c r="J65" s="14"/>
      <c r="K65" s="28" t="s">
        <v>1047</v>
      </c>
      <c r="L65" s="30" t="s">
        <v>8</v>
      </c>
      <c r="M65" s="362">
        <v>54</v>
      </c>
      <c r="N65" s="70" t="str">
        <f t="shared" si="0"/>
        <v>南アフリカ・ラント (ZAR)</v>
      </c>
      <c r="O65" s="72">
        <f t="shared" si="1"/>
        <v>8.791131</v>
      </c>
    </row>
    <row r="66" spans="1:15">
      <c r="A66" s="12"/>
      <c r="B66" s="25">
        <v>1</v>
      </c>
      <c r="C66" s="25" t="s">
        <v>1048</v>
      </c>
      <c r="D66" s="13"/>
      <c r="E66" s="13"/>
      <c r="F66" s="13"/>
      <c r="G66" s="13"/>
      <c r="H66" s="13"/>
      <c r="I66" s="25" t="s">
        <v>8</v>
      </c>
      <c r="J66" s="14"/>
      <c r="K66" s="28" t="s">
        <v>856</v>
      </c>
      <c r="L66" s="30" t="s">
        <v>8</v>
      </c>
      <c r="M66" s="362">
        <v>55</v>
      </c>
      <c r="N66" s="70" t="str">
        <f t="shared" si="0"/>
        <v>ミャンマー・チャット (MMK)</v>
      </c>
      <c r="O66" s="72">
        <f t="shared" si="1"/>
        <v>7.5127080000000013E-2</v>
      </c>
    </row>
    <row r="67" spans="1:15">
      <c r="A67" s="12"/>
      <c r="B67" s="25">
        <v>1</v>
      </c>
      <c r="C67" s="25" t="s">
        <v>1049</v>
      </c>
      <c r="D67" s="13"/>
      <c r="E67" s="13"/>
      <c r="F67" s="13"/>
      <c r="G67" s="13"/>
      <c r="H67" s="13"/>
      <c r="I67" s="25" t="s">
        <v>8</v>
      </c>
      <c r="J67" s="14"/>
      <c r="K67" s="28" t="s">
        <v>1050</v>
      </c>
      <c r="L67" s="30" t="s">
        <v>8</v>
      </c>
      <c r="M67" s="362">
        <v>56</v>
      </c>
      <c r="N67" s="70" t="str">
        <f t="shared" si="0"/>
        <v>メキシコ・ペソ (MXN)</v>
      </c>
      <c r="O67" s="72">
        <f t="shared" si="1"/>
        <v>7.7652360000000007</v>
      </c>
    </row>
    <row r="68" spans="1:15">
      <c r="A68" s="12"/>
      <c r="B68" s="25">
        <v>1</v>
      </c>
      <c r="C68" s="25" t="s">
        <v>1051</v>
      </c>
      <c r="D68" s="13"/>
      <c r="E68" s="13"/>
      <c r="F68" s="13"/>
      <c r="G68" s="13"/>
      <c r="H68" s="13"/>
      <c r="I68" s="25" t="s">
        <v>8</v>
      </c>
      <c r="J68" s="14"/>
      <c r="K68" s="28" t="s">
        <v>1052</v>
      </c>
      <c r="L68" s="30" t="s">
        <v>8</v>
      </c>
      <c r="M68" s="362">
        <v>57</v>
      </c>
      <c r="N68" s="70" t="str">
        <f t="shared" si="0"/>
        <v>モーリシャス・ルピー (MUR)</v>
      </c>
      <c r="O68" s="72">
        <f t="shared" si="1"/>
        <v>3.3933450000000001</v>
      </c>
    </row>
    <row r="69" spans="1:15">
      <c r="A69" s="12"/>
      <c r="B69" s="25">
        <v>1</v>
      </c>
      <c r="C69" s="25" t="s">
        <v>1053</v>
      </c>
      <c r="D69" s="13"/>
      <c r="E69" s="13"/>
      <c r="F69" s="13"/>
      <c r="G69" s="13"/>
      <c r="H69" s="13"/>
      <c r="I69" s="25" t="s">
        <v>8</v>
      </c>
      <c r="J69" s="14"/>
      <c r="K69" s="28" t="s">
        <v>1054</v>
      </c>
      <c r="L69" s="30" t="s">
        <v>8</v>
      </c>
      <c r="M69" s="362">
        <v>58</v>
      </c>
      <c r="N69" s="70" t="str">
        <f t="shared" si="0"/>
        <v>モロッコ・ディルハム (MAD)</v>
      </c>
      <c r="O69" s="72">
        <f t="shared" si="1"/>
        <v>15.940830000000002</v>
      </c>
    </row>
    <row r="70" spans="1:15">
      <c r="A70" s="12"/>
      <c r="B70" s="25">
        <v>1</v>
      </c>
      <c r="C70" s="25" t="s">
        <v>1055</v>
      </c>
      <c r="D70" s="13"/>
      <c r="E70" s="13"/>
      <c r="F70" s="13"/>
      <c r="G70" s="13"/>
      <c r="H70" s="13"/>
      <c r="I70" s="25" t="s">
        <v>8</v>
      </c>
      <c r="J70" s="14"/>
      <c r="K70" s="28" t="s">
        <v>858</v>
      </c>
      <c r="L70" s="30" t="s">
        <v>8</v>
      </c>
      <c r="M70" s="362">
        <v>59</v>
      </c>
      <c r="N70" s="70" t="str">
        <f t="shared" si="0"/>
        <v>ヨルダン・ディナール (JOD)</v>
      </c>
      <c r="O70" s="72">
        <f t="shared" si="1"/>
        <v>222.5403</v>
      </c>
    </row>
    <row r="71" spans="1:15">
      <c r="A71" s="12"/>
      <c r="B71" s="25">
        <v>100</v>
      </c>
      <c r="C71" s="25" t="s">
        <v>1056</v>
      </c>
      <c r="D71" s="13"/>
      <c r="E71" s="13"/>
      <c r="F71" s="13"/>
      <c r="G71" s="13"/>
      <c r="H71" s="13"/>
      <c r="I71" s="25" t="s">
        <v>8</v>
      </c>
      <c r="J71" s="14"/>
      <c r="K71" s="28" t="s">
        <v>1057</v>
      </c>
      <c r="L71" s="30" t="s">
        <v>8</v>
      </c>
      <c r="M71" s="362">
        <v>60</v>
      </c>
      <c r="N71" s="70" t="str">
        <f t="shared" si="0"/>
        <v>ラオス・キップ (LAK)</v>
      </c>
      <c r="O71" s="72">
        <f t="shared" si="1"/>
        <v>7.1970480000000002E-3</v>
      </c>
    </row>
    <row r="72" spans="1:15">
      <c r="A72" s="12"/>
      <c r="B72" s="25">
        <v>1</v>
      </c>
      <c r="C72" s="25" t="s">
        <v>1058</v>
      </c>
      <c r="D72" s="13"/>
      <c r="E72" s="13"/>
      <c r="F72" s="13"/>
      <c r="G72" s="13"/>
      <c r="H72" s="13"/>
      <c r="I72" s="25" t="s">
        <v>8</v>
      </c>
      <c r="J72" s="14"/>
      <c r="K72" s="28" t="s">
        <v>913</v>
      </c>
      <c r="L72" s="30" t="s">
        <v>8</v>
      </c>
      <c r="M72" s="362">
        <v>61</v>
      </c>
      <c r="N72" s="70" t="str">
        <f t="shared" si="0"/>
        <v>ルーマニア・レイ (RON)</v>
      </c>
      <c r="O72" s="72">
        <f t="shared" si="1"/>
        <v>33.617789999999999</v>
      </c>
    </row>
    <row r="73" spans="1:15">
      <c r="A73" s="12"/>
      <c r="B73" s="25">
        <v>100</v>
      </c>
      <c r="C73" s="25" t="s">
        <v>1059</v>
      </c>
      <c r="D73" s="13"/>
      <c r="E73" s="13"/>
      <c r="F73" s="19"/>
      <c r="G73" s="13"/>
      <c r="H73" s="14"/>
      <c r="I73" s="25" t="s">
        <v>8</v>
      </c>
      <c r="J73" s="13"/>
      <c r="K73" s="28" t="s">
        <v>1060</v>
      </c>
      <c r="L73" s="30" t="s">
        <v>8</v>
      </c>
      <c r="M73" s="362">
        <v>62</v>
      </c>
      <c r="N73" s="70" t="str">
        <f t="shared" si="0"/>
        <v>ルワンダ・フラン (RWF)</v>
      </c>
      <c r="O73" s="72">
        <f t="shared" si="1"/>
        <v>0.11537373000000001</v>
      </c>
    </row>
    <row r="74" spans="1:15">
      <c r="A74" s="12"/>
      <c r="B74" s="25">
        <v>1</v>
      </c>
      <c r="C74" s="25" t="s">
        <v>1061</v>
      </c>
      <c r="D74" s="13"/>
      <c r="E74" s="13"/>
      <c r="F74" s="13"/>
      <c r="G74" s="14"/>
      <c r="H74" s="13"/>
      <c r="I74" s="25" t="s">
        <v>8</v>
      </c>
      <c r="J74" s="13"/>
      <c r="K74" s="28" t="s">
        <v>1062</v>
      </c>
      <c r="L74" s="30" t="s">
        <v>8</v>
      </c>
      <c r="M74" s="362">
        <v>63</v>
      </c>
      <c r="N74" s="70" t="str">
        <f t="shared" si="0"/>
        <v>ロシア・ルーブル (RUB)</v>
      </c>
      <c r="O74" s="72">
        <f t="shared" si="1"/>
        <v>1.5609387000000001</v>
      </c>
    </row>
    <row r="75" spans="1:15">
      <c r="A75" s="12"/>
      <c r="B75" s="14"/>
      <c r="C75" s="14"/>
      <c r="D75" s="14"/>
      <c r="E75" s="14"/>
      <c r="F75" s="33"/>
      <c r="G75" s="34"/>
      <c r="H75" s="19"/>
      <c r="I75" s="33"/>
      <c r="J75" s="13"/>
      <c r="K75" s="35"/>
      <c r="L75" s="36"/>
      <c r="M75" s="4"/>
      <c r="N75" s="1"/>
    </row>
    <row r="76" spans="1:15">
      <c r="A76" s="12"/>
      <c r="B76" s="13" t="s">
        <v>1063</v>
      </c>
      <c r="C76" s="14"/>
      <c r="D76" s="13"/>
      <c r="E76" s="13"/>
      <c r="F76" s="37" t="s">
        <v>12</v>
      </c>
      <c r="G76" s="38"/>
      <c r="H76" s="14"/>
      <c r="I76" s="13"/>
      <c r="J76" s="14"/>
      <c r="K76" s="13"/>
      <c r="L76" s="18"/>
      <c r="M76" s="2"/>
      <c r="N76" s="1"/>
    </row>
    <row r="77" spans="1:15">
      <c r="A77" s="39"/>
      <c r="B77" s="40"/>
      <c r="C77" s="41"/>
      <c r="D77" s="42"/>
      <c r="E77" s="42"/>
      <c r="F77" s="43" t="s">
        <v>1064</v>
      </c>
      <c r="G77" s="44"/>
      <c r="H77" s="45"/>
      <c r="I77" s="42"/>
      <c r="J77" s="45"/>
      <c r="K77" s="42"/>
      <c r="L77" s="46"/>
      <c r="M77" s="2"/>
      <c r="N77" s="1"/>
    </row>
    <row r="78" spans="1:15" s="6" customFormat="1" ht="13.5">
      <c r="A78" s="5"/>
      <c r="B78" s="5"/>
      <c r="C78" s="5" t="s">
        <v>13</v>
      </c>
      <c r="D78" s="5"/>
      <c r="E78" s="5"/>
      <c r="F78" s="5"/>
      <c r="G78" s="5"/>
      <c r="H78" s="5"/>
      <c r="I78" s="5"/>
      <c r="J78" s="5"/>
      <c r="K78" s="5"/>
      <c r="L78" s="5"/>
      <c r="M78" s="5"/>
      <c r="N78" s="5"/>
    </row>
  </sheetData>
  <protectedRanges>
    <protectedRange sqref="B13" name="範囲1"/>
  </protectedRange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workbookViewId="0">
      <selection activeCell="C51" sqref="C51"/>
    </sheetView>
  </sheetViews>
  <sheetFormatPr defaultRowHeight="13.5"/>
  <cols>
    <col min="1" max="1" width="19.375" bestFit="1" customWidth="1"/>
    <col min="2" max="2" width="14.375" customWidth="1"/>
    <col min="3" max="3" width="12.75" customWidth="1"/>
    <col min="4" max="4" width="12.375" bestFit="1" customWidth="1"/>
  </cols>
  <sheetData>
    <row r="1" spans="1:10">
      <c r="A1" s="380"/>
      <c r="B1" s="381" t="str">
        <f>IF(計算シート!C67=0,"本人","-")</f>
        <v>-</v>
      </c>
      <c r="C1" s="381" t="str">
        <f>IF(計算シート!C67=0,"生計維持者１","本人")</f>
        <v>本人</v>
      </c>
      <c r="D1" s="522" t="str">
        <f>海外居住者のための収入等申告書!L33</f>
        <v>申込者本人の配偶者</v>
      </c>
      <c r="E1" s="150"/>
      <c r="F1" s="150" t="s">
        <v>39</v>
      </c>
      <c r="G1" s="150"/>
    </row>
    <row r="2" spans="1:10">
      <c r="A2" s="381" t="s">
        <v>408</v>
      </c>
      <c r="B2" s="377">
        <f>IFERROR(IF(C67=0,DATEDIF(海外居住者のための収入等申告書!F23,計算シート!$C$46,"y"),0),125)</f>
        <v>0</v>
      </c>
      <c r="C2" s="377">
        <f>DATEDIF(海外居住者のための収入等申告書!F35,計算シート!$C$46,"y")</f>
        <v>125</v>
      </c>
      <c r="D2" s="377">
        <f>DATEDIF(海外居住者のための収入等申告書!L35,計算シート!$C$46,"y")</f>
        <v>125</v>
      </c>
      <c r="E2" s="150"/>
      <c r="F2" s="150"/>
      <c r="G2" s="150"/>
    </row>
    <row r="3" spans="1:10">
      <c r="A3" s="381" t="s">
        <v>169</v>
      </c>
      <c r="B3" s="375">
        <f>海外居住者のための収入等申告書!F29*VLOOKUP(海外居住者のための収入等申告書!F28,IF($C$49=1,前年レート!$N$12:$O$74,IF($C$49=2,当年レート!$N$12:$O$74,"")),2,0)</f>
        <v>0</v>
      </c>
      <c r="C3" s="375">
        <f>海外居住者のための収入等申告書!F44*VLOOKUP(海外居住者のための収入等申告書!F43,IF($C$49=1,前年レート!$N$12:$O$74,IF($C$49=2,当年レート!$N$12:$O$74,"")),2,0)</f>
        <v>0</v>
      </c>
      <c r="D3" s="375">
        <f>IF(VLOOKUP(海外居住者のための収入等申告書!$F$36,計算シート!$F$3:$G$10,2,0)=1,海外居住者のための収入等申告書!L44*VLOOKUP(海外居住者のための収入等申告書!L43,IF($C$49=1,前年レート!$N$12:$O$74,IF($C$49=2,当年レート!$N$12:$O$74,"")),2,0),0)</f>
        <v>0</v>
      </c>
      <c r="E3" s="150"/>
      <c r="F3" s="54" t="s">
        <v>41</v>
      </c>
      <c r="G3" s="54">
        <v>1</v>
      </c>
    </row>
    <row r="4" spans="1:10">
      <c r="A4" s="381" t="s">
        <v>16</v>
      </c>
      <c r="B4" s="375">
        <f>MAX(IF(B3&lt;T11所得区分!$B$16,T12給与所得!$B$2,IF(B3&lt;T11所得区分!$B$17,B3-650000+IF(C50=1,100000,0),IF(B3&lt;T11所得区分!$B$18,T12給与所得!$B$4+IF(C50=1,100000,0),IF(B3&lt;T11所得区分!$B$19,T12給与所得!$B$5+IF(C50=1,100000,0),IF(B3&lt;T11所得区分!$B$20,T12給与所得!$B$6+IF(C50=1,100000,0),IF(B3&lt;T11所得区分!$B$21,T12給与所得!$B$7+IF(C50=1,100000,0),IF(B3&lt;T11所得区分!$B$22,ROUNDDOWN(B3/4000,0)*4000*0.6+IF(C50=1,100000,0),IF(B3&lt;T11所得区分!$B$23,ROUNDDOWN(B3/4000,0)*4000*0.7-180000+IF(C50=1,100000,0),IF(B3&lt;T11所得区分!$B$24,ROUNDDOWN(B3/4000,0)*4000*0.8-540000+IF(C50=1,100000,0),IF(B3&lt;T11所得区分!$B$25-IF(C50=1,1500000,0),B3*0.9-1200000+IF(C50=1,100000,0),B3-2200000+IF(C50=1,250000,0))))))))))),0)</f>
        <v>0</v>
      </c>
      <c r="C4" s="375">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C53,0)</f>
        <v>0</v>
      </c>
      <c r="D4" s="375">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D53,0)</f>
        <v>0</v>
      </c>
      <c r="E4" s="150"/>
      <c r="F4" s="54" t="s">
        <v>43</v>
      </c>
      <c r="G4" s="54">
        <v>2</v>
      </c>
    </row>
    <row r="5" spans="1:10">
      <c r="A5" s="381" t="s">
        <v>270</v>
      </c>
      <c r="B5" s="375">
        <v>0</v>
      </c>
      <c r="C5" s="375">
        <f>海外居住者のための収入等申告書!F46*VLOOKUP(海外居住者のための収入等申告書!F45,IF($C$49=1,前年レート!$N$12:$O$74,IF($C$49=2,当年レート!$N$12:$O$74,"")),2,0)</f>
        <v>0</v>
      </c>
      <c r="D5" s="375">
        <f>IF(VLOOKUP(海外居住者のための収入等申告書!$F$36,計算シート!$F$3:$G$10,2,0)=1,海外居住者のための収入等申告書!L46*VLOOKUP(海外居住者のための収入等申告書!L45,IF($C$49=1,前年レート!$N$12:$O$74,IF($C$49=2,当年レート!$N$12:$O$74,"")),2,0),0)</f>
        <v>0</v>
      </c>
      <c r="E5" s="150"/>
      <c r="F5" s="54" t="s">
        <v>44</v>
      </c>
      <c r="G5" s="54">
        <v>3</v>
      </c>
    </row>
    <row r="6" spans="1:10">
      <c r="A6" s="381" t="s">
        <v>269</v>
      </c>
      <c r="B6" s="375">
        <v>0</v>
      </c>
      <c r="C6" s="375">
        <f>MAX(IF(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lt;0,0,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0)</f>
        <v>0</v>
      </c>
      <c r="D6" s="375">
        <f>MAX(IF(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lt;0,0,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0)</f>
        <v>0</v>
      </c>
      <c r="E6" s="150"/>
      <c r="F6" s="54" t="s">
        <v>45</v>
      </c>
      <c r="G6" s="54">
        <v>4</v>
      </c>
    </row>
    <row r="7" spans="1:10">
      <c r="A7" s="381" t="s">
        <v>271</v>
      </c>
      <c r="B7" s="375">
        <f>海外居住者のための収入等申告書!F31*VLOOKUP(海外居住者のための収入等申告書!F30,IF($C$49=1,前年レート!$N$12:$O$74,IF($C$49=2,当年レート!$N$12:$O$74,"")),2,0)</f>
        <v>0</v>
      </c>
      <c r="C7" s="375">
        <f>海外居住者のための収入等申告書!F48*VLOOKUP(海外居住者のための収入等申告書!F47,IF($C$49=1,前年レート!$N$12:$O$74,IF($C$49=2,当年レート!$N$12:$O$74,"")),2,0)</f>
        <v>0</v>
      </c>
      <c r="D7" s="375">
        <f>IF(VLOOKUP(海外居住者のための収入等申告書!$F$36,計算シート!$F$3:$G$10,2,0)=1,海外居住者のための収入等申告書!L48*VLOOKUP(海外居住者のための収入等申告書!L47,IF($C$49=1,前年レート!$N$12:$O$74,IF($C$49=2,当年レート!$N$12:$O$74,"")),2,0),0)</f>
        <v>0</v>
      </c>
      <c r="E7" s="150"/>
      <c r="F7" s="54" t="s">
        <v>266</v>
      </c>
      <c r="G7" s="54">
        <v>5</v>
      </c>
    </row>
    <row r="8" spans="1:10">
      <c r="A8" s="381" t="s">
        <v>17</v>
      </c>
      <c r="B8" s="375">
        <f>IF(VLOOKUP(海外居住者のための収入等申告書!F27,計算シート!F3:G4,2,0)=1,SUM(B4,B6,B7),0)</f>
        <v>0</v>
      </c>
      <c r="C8" s="375">
        <f>MAX(SUM(C4,C6,C7,C54),0)</f>
        <v>0</v>
      </c>
      <c r="D8" s="375">
        <f>MAX(SUM(D4,D6,D7,D54),0)</f>
        <v>0</v>
      </c>
      <c r="E8" s="150"/>
      <c r="F8" s="54" t="str">
        <f>IF(C50=0,"寡婦（夫）でない","ひとり親でない")</f>
        <v>ひとり親でない</v>
      </c>
      <c r="G8" s="54">
        <v>6</v>
      </c>
    </row>
    <row r="9" spans="1:10">
      <c r="A9" s="381" t="s">
        <v>310</v>
      </c>
      <c r="B9" s="377">
        <v>0</v>
      </c>
      <c r="C9" s="377">
        <f>IF(VLOOKUP(海外居住者のための収入等申告書!$F$36,$F$3:$G$13,2,0)=1,1,0)</f>
        <v>1</v>
      </c>
      <c r="D9" s="377">
        <f>C9</f>
        <v>1</v>
      </c>
      <c r="E9" s="150"/>
      <c r="F9" s="54" t="str">
        <f>IF(C50=0,"寡婦である","ひとり親である")</f>
        <v>ひとり親である</v>
      </c>
      <c r="G9" s="54">
        <v>7</v>
      </c>
      <c r="J9" t="s">
        <v>633</v>
      </c>
    </row>
    <row r="10" spans="1:10">
      <c r="A10" s="381" t="s">
        <v>168</v>
      </c>
      <c r="B10" s="376" t="s">
        <v>284</v>
      </c>
      <c r="C10" s="376" t="str">
        <f>IF(C9=1,IF(C8&gt;=D8,IF(C8&lt;=T11所得区分!$B$2+IF(C50=1,100000,0),"A",IF(C8&lt;=T11所得区分!$B$3+IF(C50=1,100000,0),"B",IF(C8&lt;=T11所得区分!$B$4+IF(C50=1,100000,0),"C","D"))),IF(C8&lt;T11所得区分!$B$5+IF(C50=1,100000,0),"e",IF(C8&lt;T11所得区分!$B$6+IF(C50=1,100000,0),"f",IF(C8&lt;T11所得区分!$B$7+IF(C50=1,100000,0),"g",IF(C8&lt;=T11所得区分!$B$8+IF(C50=1,100000,0),"h",IF(C8&lt;=T11所得区分!$B$9+IF(C50=1,100000,0),"i",IF(C8&lt;=T11所得区分!$B$10+IF(C50=1,100000,0),"j",IF(C8&lt;=T11所得区分!$B$11+IF(C50=1,100000,0),"k",IF(C8&lt;=T11所得区分!$B$12+IF(C50=1,100000,0),"l",IF(C8&lt;=T11所得区分!$B$13+IF(C50=1,100000,0),"m",IF(C8&lt;=T11所得区分!$B$14+IF(C50=1,100000,0),"n",IF(C8&lt;=T11所得区分!$B$15+IF(C50=1,100000,0),"o","p")))))))))))),"D")</f>
        <v>A</v>
      </c>
      <c r="D10" s="376" t="str">
        <f>IF(VLOOKUP(海外居住者のための収入等申告書!F36,計算シート!F3:G10,2,0)=1,IF(D8&gt;C8,IF(D8&lt;=T11所得区分!$B$2+IF(C50=1,100000,0),"A",IF(D8&lt;=T11所得区分!$B$3+IF(C50=1,100000,0),"B",IF(D8&lt;=T11所得区分!$B$4+IF(C50=1,100000,0),"C","D"))),IF(D8&lt;T11所得区分!$B$5+IF(C50=1,100000,0),"e",IF(D8&lt;T11所得区分!$B$6+IF(C50=1,100000,0),"f",IF(D8&lt;T11所得区分!$B$7+IF(C50=1,100000,0),"g",IF(D8&lt;=T11所得区分!$B$8+IF(C50=1,100000,0),"h",IF(D8&lt;=T11所得区分!$B$9+IF(C50=1,100000,0),"i",IF(D8&lt;=T11所得区分!$B$10+IF(C50=1,100000,0),"j",IF(D8&lt;=T11所得区分!$B$11+IF(C50=1,100000,0),"k",IF(D8&lt;=T11所得区分!$B$12+IF(C50=1,100000,0),"l",IF(D8&lt;=T11所得区分!$B$13+IF(C50=1,100000,0),"m",IF(D8&lt;=T11所得区分!$B$14+IF(C50=1,100000,0),"n",IF(D8&lt;=T11所得区分!$B$15+IF(C50=1,100000,0),"o","p")))))))))))),"p")</f>
        <v>e</v>
      </c>
      <c r="E10" s="150"/>
      <c r="F10" s="54" t="str">
        <f>IF(C50=0,"寡夫である","")</f>
        <v/>
      </c>
      <c r="G10" s="54">
        <v>8</v>
      </c>
      <c r="J10" t="s">
        <v>629</v>
      </c>
    </row>
    <row r="11" spans="1:10">
      <c r="A11" s="381" t="s">
        <v>265</v>
      </c>
      <c r="B11" s="375">
        <v>0</v>
      </c>
      <c r="C11" s="375">
        <f>IF(C10="A",IF(D10="e",IF(D2&gt;=70,T13人的控除!$B$6,T13人的控除!$B$3),IF(D10="f",T13人的控除!$B$9,IF(D10="g",T13人的控除!$B$10,IF(D10="h",T13人的控除!$B$11,IF(D10="i",T13人的控除!$B$12,IF(D10="j",T13人的控除!$B$13,IF(D10="k",T13人的控除!$B$14,IF(D10="l",T13人的控除!$B$15,IF(D10="m",T13人的控除!$B$16,IF(D10="n",T13人的控除!$B$17,IF(D10="o",T13人的控除!$B$18,0))))))))))),IF(C10="B",IF(D10="e",IF(D2&gt;=70,T13人的控除!$B$7,T13人的控除!$B$4),IF(D10="f",T13人的控除!$B$19,IF(D10="g",T13人的控除!$B$20,IF(D10="h",T13人的控除!$B$21,IF(D10="i",T13人的控除!$B$22,IF(D10="j",T13人的控除!$B$23,IF(D10="k",T13人的控除!$B$24,IF(D10="l",T13人的控除!$B$25,IF(D10="m",T13人的控除!$B$26,IF(D10="n",T13人的控除!$B$27,IF(D10="o",T13人的控除!$B$28,0))))))))))),IF(C10="C",IF(D10="e",IF(D2&gt;=70,T13人的控除!$B$8,T13人的控除!$B$5),IF(D10="f",T13人的控除!$B$29,IF(D10="g",T13人的控除!$B$30,IF(D10="h",T13人的控除!$B$31,IF(D10="i",T13人的控除!$B$32,IF(D10="j",T13人的控除!$B$33,IF(D10="k",T13人的控除!$B$34,IF(D10="l",T13人的控除!$B$35,IF(D10="m",T13人的控除!$B$36,IF(D10="n",T13人的控除!$B$37,IF(D10="o",T13人的控除!$B$38,0))))))))))),0)))</f>
        <v>380000</v>
      </c>
      <c r="D11" s="375">
        <f>IF(D10="A",IF(C10="e",IF(C2&gt;=70,T13人的控除!$B$6,T13人的控除!$B$3),IF(C10="f",T13人的控除!$B$9,IF(C10="g",T13人的控除!$B$10,IF(C10="h",T13人的控除!$B$11,IF(C10="i",T13人的控除!$B$12,IF(C10="j",T13人的控除!$B$13,IF(C10="k",T13人的控除!$B$14,IF(C10="l",T13人的控除!$B$15,IF(C10="m",T13人的控除!$B$16,IF(C10="n",T13人的控除!$B$17,IF(C10="o",T13人的控除!$B$18,0))))))))))),IF(D10="B",IF(C10="e",IF(C2&gt;=70,T13人的控除!$B$7,T13人的控除!$B$4),IF(C10="f",T13人的控除!$B$19,IF(C10="g",T13人的控除!$B$20,IF(C10="h",T13人的控除!$B$21,IF(C10="i",T13人的控除!$B$22,IF(C10="j",T13人的控除!$B$23,IF(C10="k",T13人的控除!$B$24,IF(C10="l",T13人的控除!$B$25,IF(C10="m",T13人的控除!$B$26,IF(C10="n",T13人的控除!$B$27,IF(C10="o",T13人的控除!$B$28,0))))))))))),IF(D10="C",IF(C10="e",IF(海外居住者のための収入等申告書!L35&gt;=70,T13人的控除!$B$8,T13人的控除!$B$5),IF(C10="f",T13人的控除!$B$29,IF(C10="g",T13人的控除!$B$30,IF(C10="h",T13人的控除!$B$31,IF(C10="i",T13人的控除!$B$32,IF(C10="j",T13人的控除!$B$33,IF(C10="k",T13人的控除!$B$34,IF(C10="l",T13人的控除!$B$35,IF(C10="m",T13人的控除!$B$36,IF(C10="n",T13人的控除!$B$37,IF(C10="o",T13人的控除!$B$38,0))))))))))),0)))</f>
        <v>0</v>
      </c>
      <c r="E11" s="150"/>
      <c r="F11" s="89" t="s">
        <v>278</v>
      </c>
      <c r="G11" s="89">
        <v>9</v>
      </c>
      <c r="J11" t="s">
        <v>630</v>
      </c>
    </row>
    <row r="12" spans="1:10">
      <c r="A12" s="381" t="s">
        <v>18</v>
      </c>
      <c r="B12" s="375">
        <v>0</v>
      </c>
      <c r="C12" s="375">
        <f>SUM(海外居住者のための収入等申告書!F52,海外居住者のための収入等申告書!F54,C36)*T13人的控除!$B$39</f>
        <v>0</v>
      </c>
      <c r="D12" s="375">
        <f>SUM(海外居住者のための収入等申告書!L52,海外居住者のための収入等申告書!L54,D36)*T13人的控除!$B$39</f>
        <v>0</v>
      </c>
      <c r="E12" s="150"/>
      <c r="F12" s="54" t="s">
        <v>279</v>
      </c>
      <c r="G12" s="54">
        <v>10</v>
      </c>
      <c r="J12" t="s">
        <v>631</v>
      </c>
    </row>
    <row r="13" spans="1:10">
      <c r="A13" s="381" t="s">
        <v>19</v>
      </c>
      <c r="B13" s="375">
        <v>0</v>
      </c>
      <c r="C13" s="375">
        <f>SUM(C37,海外居住者のための収入等申告書!F53)*T13人的控除!$B$40</f>
        <v>0</v>
      </c>
      <c r="D13" s="375">
        <f>SUM(海外居住者のための収入等申告書!L53,D37)*T13人的控除!$B$40</f>
        <v>0</v>
      </c>
      <c r="E13" s="150"/>
      <c r="F13" s="54" t="s">
        <v>290</v>
      </c>
      <c r="G13" s="54">
        <v>11</v>
      </c>
      <c r="J13" t="s">
        <v>628</v>
      </c>
    </row>
    <row r="14" spans="1:10">
      <c r="A14" s="381" t="s">
        <v>20</v>
      </c>
      <c r="B14" s="375">
        <v>0</v>
      </c>
      <c r="C14" s="375">
        <f>海外居住者のための収入等申告書!F56*T13人的控除!$B$41</f>
        <v>0</v>
      </c>
      <c r="D14" s="375">
        <f>海外居住者のための収入等申告書!L56*T13人的控除!$B$41</f>
        <v>0</v>
      </c>
      <c r="E14" s="150"/>
      <c r="F14" s="150"/>
      <c r="G14" s="150"/>
      <c r="J14" t="s">
        <v>632</v>
      </c>
    </row>
    <row r="15" spans="1:10">
      <c r="A15" s="381" t="s">
        <v>21</v>
      </c>
      <c r="B15" s="375">
        <v>0</v>
      </c>
      <c r="C15" s="375">
        <f>海外居住者のための収入等申告書!F55*T13人的控除!$B$42</f>
        <v>0</v>
      </c>
      <c r="D15" s="375">
        <f>海外居住者のための収入等申告書!L55*T13人的控除!$B$42</f>
        <v>0</v>
      </c>
      <c r="E15" s="150"/>
      <c r="F15" s="54" t="s">
        <v>399</v>
      </c>
      <c r="G15" s="54">
        <v>1</v>
      </c>
    </row>
    <row r="16" spans="1:10">
      <c r="A16" s="381" t="s">
        <v>22</v>
      </c>
      <c r="B16" s="375">
        <f>IF(VLOOKUP(海外居住者のための収入等申告書!F25,計算シート!$F$3:$G$10,2,0)=4,1,0)*T13人的控除!$B$44</f>
        <v>0</v>
      </c>
      <c r="C16" s="375">
        <f>SUM(海外居住者のための収入等申告書!F57,C38,IF(VLOOKUP(海外居住者のための収入等申告書!$F$39,計算シート!$F$3:$G$10,2,0)=4,1,0),IF(AND(D10="e",VLOOKUP(海外居住者のための収入等申告書!$L$39,計算シート!$F$3:$G$10,2,0)=4),1,0))*T13人的控除!$B$44</f>
        <v>0</v>
      </c>
      <c r="D16" s="375">
        <f>SUM(海外居住者のための収入等申告書!L57,D38,IF(VLOOKUP(海外居住者のための収入等申告書!$L$39,計算シート!$F$3:$G$10,2,0)=4,1,0),IF(AND(C10="e",VLOOKUP(海外居住者のための収入等申告書!$F$39,計算シート!$F$3:$G$10,2,0)=4),1,0))*T13人的控除!$B$44</f>
        <v>0</v>
      </c>
      <c r="E16" s="150"/>
      <c r="F16" s="54" t="s">
        <v>397</v>
      </c>
      <c r="G16" s="54">
        <v>2</v>
      </c>
    </row>
    <row r="17" spans="1:7">
      <c r="A17" s="381" t="s">
        <v>23</v>
      </c>
      <c r="B17" s="375">
        <f>IF(VLOOKUP(海外居住者のための収入等申告書!F25,計算シート!$F$3:$G$10,2,0)=5,1,0)*T13人的控除!$B$45</f>
        <v>0</v>
      </c>
      <c r="C17" s="375">
        <f>SUM(海外居住者のための収入等申告書!F58,C39,IF(VLOOKUP(海外居住者のための収入等申告書!$F$39,計算シート!$F$3:$G$10,2,0)=5,1,0),IF(AND($D$10="e",VLOOKUP(海外居住者のための収入等申告書!$F$38,計算シート!$F$3:$G$10,2,0)=2,VLOOKUP(海外居住者のための収入等申告書!$L$39,計算シート!$F$3:$G$10,2,0)=5),1,0))*T13人的控除!B45</f>
        <v>0</v>
      </c>
      <c r="D17" s="375">
        <f>SUM(海外居住者のための収入等申告書!L58,D39,IF(VLOOKUP(海外居住者のための収入等申告書!L39,計算シート!$F$3:$G$10,2,0)=5,1,0),IF(AND(C10="e",VLOOKUP(海外居住者のための収入等申告書!$F$38,計算シート!$F$3:$G$10,2,0)=2,VLOOKUP(海外居住者のための収入等申告書!$F$39,計算シート!$F$3:$G$10,2,0)=5),1,0))*T13人的控除!B45</f>
        <v>0</v>
      </c>
      <c r="E17" s="150"/>
      <c r="F17" s="54" t="s">
        <v>398</v>
      </c>
      <c r="G17" s="54">
        <v>3</v>
      </c>
    </row>
    <row r="18" spans="1:7">
      <c r="A18" s="381" t="s">
        <v>24</v>
      </c>
      <c r="B18" s="375">
        <v>0</v>
      </c>
      <c r="C18" s="375">
        <f>SUM(海外居住者のための収入等申告書!F59,C40,IF(AND($D$10="e",VLOOKUP(海外居住者のための収入等申告書!$F$38,計算シート!$F$3:$G$10,2,0)=1,VLOOKUP(海外居住者のための収入等申告書!$L$39,計算シート!$F$3:$G$10,2,0)=5),1,0))*T13人的控除!B46</f>
        <v>0</v>
      </c>
      <c r="D18" s="375">
        <f>SUM(海外居住者のための収入等申告書!L59,D40,IF(AND($C$10="e",VLOOKUP(海外居住者のための収入等申告書!$F$38,計算シート!$F$3:$G$10,2,0)=1,VLOOKUP(海外居住者のための収入等申告書!$F$39,計算シート!$F$3:$G$10,2,0)=5),1,0))*T13人的控除!B46</f>
        <v>0</v>
      </c>
      <c r="E18" s="150"/>
      <c r="F18" s="54" t="s">
        <v>403</v>
      </c>
      <c r="G18" s="54">
        <v>4</v>
      </c>
    </row>
    <row r="19" spans="1:7">
      <c r="A19" s="382" t="s">
        <v>379</v>
      </c>
      <c r="B19" s="375">
        <f>IF(AND(B8&lt;=T13人的控除!B57+IF(C50=1,100000,0),SUM(計算シート!B6:B7)&lt;=100000),T13人的控除!B50,0)</f>
        <v>260000</v>
      </c>
      <c r="C19" s="375">
        <f>IFERROR(IF(海外居住者のための収入等申告書!F36="はい",0,IF(AND(C21=0,C20=0,VLOOKUP(海外居住者のための収入等申告書!F40,計算シート!$F$3:$G$10,2,0)=7,OR(海外居住者のための収入等申告書!I15="祖母",海外居住者のための収入等申告書!I15="母"),SUM(C35:C37,海外居住者のための収入等申告書!F51:F54)&gt;0),T13人的控除!$B$47,0)),0)</f>
        <v>0</v>
      </c>
      <c r="D19" s="375">
        <v>0</v>
      </c>
      <c r="E19" s="150"/>
      <c r="F19" s="374" t="s">
        <v>925</v>
      </c>
      <c r="G19" s="377">
        <v>5</v>
      </c>
    </row>
    <row r="20" spans="1:7">
      <c r="A20" s="381" t="s">
        <v>26</v>
      </c>
      <c r="B20" s="375">
        <v>0</v>
      </c>
      <c r="C20" s="375">
        <v>0</v>
      </c>
      <c r="D20" s="375">
        <v>0</v>
      </c>
      <c r="E20" s="150"/>
      <c r="F20" s="377" t="s">
        <v>926</v>
      </c>
      <c r="G20" s="377">
        <v>6</v>
      </c>
    </row>
    <row r="21" spans="1:7">
      <c r="A21" s="381" t="s">
        <v>860</v>
      </c>
      <c r="B21" s="375">
        <v>0</v>
      </c>
      <c r="C21" s="375">
        <f>IFERROR(IF(海外居住者のための収入等申告書!F36="はい",0,IF(AND(海外居住者のための収入等申告書!F40="ひとり親である",SUM(C35:C37,海外居住者のための収入等申告書!F51:F53,MAX(0,海外居住者のための収入等申告書!F54-海外居住者のための収入等申告書!H54))&gt;0,C8&lt;=T13人的控除!$B$54),T13人的控除!$B$48,0)),0)</f>
        <v>0</v>
      </c>
      <c r="D21" s="375">
        <v>0</v>
      </c>
      <c r="E21" s="150"/>
      <c r="F21" s="377" t="s">
        <v>927</v>
      </c>
      <c r="G21" s="377">
        <v>7</v>
      </c>
    </row>
    <row r="22" spans="1:7">
      <c r="A22" s="381" t="s">
        <v>31</v>
      </c>
      <c r="B22" s="375">
        <f>T13人的控除!$B$2+IF(C50=1,100000,0)</f>
        <v>430000</v>
      </c>
      <c r="C22" s="375">
        <f>T13人的控除!$B$2+IF(C50=1,100000,0)</f>
        <v>430000</v>
      </c>
      <c r="D22" s="375">
        <f>T13人的控除!B2+IF(C50=1,100000,0)</f>
        <v>430000</v>
      </c>
      <c r="E22" s="150"/>
      <c r="F22" s="377"/>
      <c r="G22" s="377"/>
    </row>
    <row r="23" spans="1:7">
      <c r="A23" s="381" t="s">
        <v>28</v>
      </c>
      <c r="B23" s="375">
        <v>0</v>
      </c>
      <c r="C23" s="375">
        <f>SUM(海外居住者のための収入等申告書!F51:F56,C35:C37,IF(D10="e",1,0))</f>
        <v>1</v>
      </c>
      <c r="D23" s="375">
        <f>SUM(海外居住者のための収入等申告書!L51:L56,D35:D37,IF(C10="e",1,0))</f>
        <v>0</v>
      </c>
      <c r="E23" s="150"/>
      <c r="F23" s="150"/>
      <c r="G23" s="150"/>
    </row>
    <row r="24" spans="1:7">
      <c r="A24" s="381" t="s">
        <v>29</v>
      </c>
      <c r="B24" s="375">
        <f>SUM(B3,B5,B7)*0.15</f>
        <v>0</v>
      </c>
      <c r="C24" s="375">
        <f>SUM(C3,C5,C7)*0.15</f>
        <v>0</v>
      </c>
      <c r="D24" s="375">
        <f>SUM(D3,D5,D7)*0.15</f>
        <v>0</v>
      </c>
      <c r="E24" s="150"/>
      <c r="F24" s="399" t="s">
        <v>1065</v>
      </c>
      <c r="G24" s="399">
        <v>1</v>
      </c>
    </row>
    <row r="25" spans="1:7">
      <c r="A25" s="381" t="s">
        <v>32</v>
      </c>
      <c r="B25" s="375">
        <f>T13人的控除!$B$51+IF(C50=1,100000,0)</f>
        <v>450000</v>
      </c>
      <c r="C25" s="375">
        <f>T13人的控除!$B$51*SUM(1,C23)+IF(SUM(C23)&gt;0,T13人的控除!$B$52,0)+IF(C50=1,100000,0)</f>
        <v>1120000</v>
      </c>
      <c r="D25" s="375">
        <f>T13人的控除!$B$51*SUM(1,D23)+IF(SUM(D23)&gt;0,T13人的控除!$B$52,0)+IF(C50=1,100000,0)</f>
        <v>450000</v>
      </c>
      <c r="E25" s="150"/>
      <c r="F25" s="399" t="s">
        <v>1066</v>
      </c>
      <c r="G25" s="399">
        <v>2</v>
      </c>
    </row>
    <row r="26" spans="1:7">
      <c r="A26" s="381" t="s">
        <v>33</v>
      </c>
      <c r="B26" s="375">
        <f>IF(OR(VLOOKUP(海外居住者のための収入等申告書!F25,計算シート!$F$3:$G$10,2,0)&gt;3,IF(OR(C44&lt;2023,AND(C44=2022,C45=0)),B2&lt;20,B2&lt;18)),T13人的控除!$B$53+IF(C50=1,100000,0),0)</f>
        <v>1350000</v>
      </c>
      <c r="C26" s="375">
        <f>IF(OR(SUM(C19:C21)&gt;0,VLOOKUP(海外居住者のための収入等申告書!$F$39,計算シート!$F$3:$G$10,2,0)&gt;3,IF(OR(C44&lt;2023,AND(C44=2022,C45=0)),C2&lt;20,C2&lt;18)),T13人的控除!$B$53+IF(C50=1,100000,0),0)</f>
        <v>0</v>
      </c>
      <c r="D26" s="375">
        <f>IF(OR(SUM(D19:D21)&gt;0,VLOOKUP(海外居住者のための収入等申告書!$F$39,計算シート!$F$3:$G$10,2,0)&gt;3,IF(OR(C44&lt;2023,AND(C44=2022,C45=0)),D2&lt;20,D2&lt;18)),T13人的控除!$B$53+IF(C50=1,100000,0),0)</f>
        <v>0</v>
      </c>
      <c r="E26" s="150"/>
      <c r="F26" s="399" t="s">
        <v>1070</v>
      </c>
      <c r="G26" s="399">
        <v>3</v>
      </c>
    </row>
    <row r="27" spans="1:7">
      <c r="A27" s="381" t="s">
        <v>267</v>
      </c>
      <c r="B27" s="375">
        <f>SUM(B11:B22,B24)</f>
        <v>690000</v>
      </c>
      <c r="C27" s="375">
        <f>SUM(C11:C22,C24)</f>
        <v>810000</v>
      </c>
      <c r="D27" s="375">
        <f>SUM(D11:D22,D24)</f>
        <v>430000</v>
      </c>
      <c r="E27" s="150"/>
      <c r="F27" s="399" t="s">
        <v>1071</v>
      </c>
      <c r="G27" s="399">
        <v>4</v>
      </c>
    </row>
    <row r="28" spans="1:7">
      <c r="A28" s="381" t="s">
        <v>30</v>
      </c>
      <c r="B28" s="375">
        <f>IF(B8-B27&lt;0,0,ROUNDDOWN(B8-B27,-3))</f>
        <v>0</v>
      </c>
      <c r="C28" s="375">
        <f>IF(C8-C27&lt;0,0,ROUNDDOWN(C8-C27,-3))</f>
        <v>0</v>
      </c>
      <c r="D28" s="375">
        <f>IF(D8-D27&lt;0,0,ROUNDDOWN(D8-D27,-3))</f>
        <v>0</v>
      </c>
      <c r="E28" s="150"/>
      <c r="F28" s="399" t="s">
        <v>1067</v>
      </c>
      <c r="G28" s="399">
        <v>5</v>
      </c>
    </row>
    <row r="29" spans="1:7">
      <c r="A29" s="381" t="s">
        <v>34</v>
      </c>
      <c r="B29" s="375">
        <f>B28*T16税率等!$B$2/100</f>
        <v>0</v>
      </c>
      <c r="C29" s="375">
        <f>C28*T16税率等!$B$2/100</f>
        <v>0</v>
      </c>
      <c r="D29" s="375">
        <f>D28*T16税率等!$B$2/100</f>
        <v>0</v>
      </c>
      <c r="E29" s="150"/>
      <c r="F29" s="54"/>
      <c r="G29" s="54"/>
    </row>
    <row r="30" spans="1:7">
      <c r="A30" s="381" t="s">
        <v>268</v>
      </c>
      <c r="B30" s="375">
        <v>0</v>
      </c>
      <c r="C30" s="375">
        <f>IF(C10="A",IF(D10="e",IF(D2&gt;=70,T15調整控除!$B$6,T15調整控除!$B$3),IF(D10="f",T15調整控除!$B$9,IF(D10="g",T15調整控除!$B$10,IF(D10="h",T15調整控除!$B$11,IF(D10="i",T15調整控除!$B$12,IF(D10="j",T15調整控除!$B$13,IF(D10="k",T15調整控除!$B$14,IF(D10="l",T15調整控除!$B$15,IF(D10="m",T15調整控除!$B$16,IF(D10="n",T15調整控除!$B$17,IF(D10="o",T15調整控除!$B$18,0))))))))))),IF(C10="B",IF(D10="e",IF(D2&gt;=70,T15調整控除!$B$7,T15調整控除!$B$4),IF(D10="f",T15調整控除!$B$19,IF(D10="g",T15調整控除!$B$20,IF(D10="h",T15調整控除!$B$21,IF(D10="i",T15調整控除!$B$22,IF(D10="j",T15調整控除!$B$23,IF(D10="k",T15調整控除!$B$24,IF(D10="l",T15調整控除!$B$25,IF(D10="m",T15調整控除!$B$26,IF(D10="n",T15調整控除!$B$27,IF(D10="o",T15調整控除!$B$28,0))))))))))),IF(C10="C",IF(D10="e",IF(D2&gt;=70,T15調整控除!$B$8,T15調整控除!$B$5),IF(D10="f",T15調整控除!$B$29,IF(D10="g",T15調整控除!$B$30,IF(D10="h",T15調整控除!$B$31,IF(D10="i",T15調整控除!$B$32,IF(D10="j",T15調整控除!$B$33,IF(D10="k",T15調整控除!$B$34,IF(D10="l",T15調整控除!$B$35,IF(D10="m",T15調整控除!$B$36,IF(D10="n",T15調整控除!$B$37,IF(D10="o",T15調整控除!$B$38,0))))))))))),0)))</f>
        <v>100000</v>
      </c>
      <c r="D30" s="375">
        <f>IF(D10="A",IF(C10="e",IF(C2&gt;=70,T15調整控除!$B$6,T15調整控除!$B$3),IF(C10="f",T15調整控除!$B$9,IF(C10="g",T15調整控除!$B$10,IF(C10="h",T15調整控除!$B$11,IF(C10="i",T15調整控除!$B$12,IF(C10="j",T15調整控除!$B$13,IF(C10="k",T15調整控除!$B$14,IF(C10="l",T15調整控除!$B$15,IF(C10="m",T15調整控除!$B$16,IF(C10="n",T15調整控除!$B$17,IF(C10="o",T15調整控除!$B$18,0))))))))))),IF(D10="B",IF(C10="e",IF(C2&gt;=70,T15調整控除!$B$7,T15調整控除!$B$4),IF(C10="f",T15調整控除!$B$19,IF(C10="g",T15調整控除!$B$20,IF(C10="h",T15調整控除!$B$21,IF(C10="i",T15調整控除!$B$22,IF(C10="j",T15調整控除!$B$23,IF(C10="k",T15調整控除!$B$24,IF(C10="l",T15調整控除!$B$25,IF(C10="m",T15調整控除!$B$26,IF(C10="n",T15調整控除!$B$27,IF(C10="o",T15調整控除!$B$28,0))))))))))),IF(D10="C",IF(C10="e",IF(C2&gt;=70,T15調整控除!$B$8,T15調整控除!$B$5),IF(C10="f",T15調整控除!$B$29,IF(C10="g",T15調整控除!$B$30,IF(C10="h",T15調整控除!$B$31,IF(C10="i",T15調整控除!$B$32,IF(C10="j",T15調整控除!$B$33,IF(C10="k",T15調整控除!$B$34,IF(C10="l",T15調整控除!$B$35,IF(C10="m",T15調整控除!$B$36,IF(C10="n",T15調整控除!$B$37,IF(C10="o",T15調整控除!$B$38,0))))))))))),0)))</f>
        <v>0</v>
      </c>
      <c r="E30" s="150"/>
      <c r="F30" s="150"/>
      <c r="G30" s="150"/>
    </row>
    <row r="31" spans="1:7">
      <c r="A31" s="381" t="s">
        <v>35</v>
      </c>
      <c r="B31" s="375">
        <f>SUM(T15調整控除!$B$2,B12/T13人的控除!$B$39*T15調整控除!$B$39,B13/T13人的控除!$B$40*T15調整控除!$B$40,B14/T13人的控除!$B$41*T15調整控除!$B$41,B15/T13人的控除!$B$42*T15調整控除!$B$42,B16/T13人的控除!$B$44*T15調整控除!$B$44,B17/T13人的控除!$B$45*T15調整控除!$B$45,B18/T13人的控除!$B$46*T15調整控除!$B$46,B19/T13人的控除!$B$47*T15調整控除!$B$47,B20/T13人的控除!$B$48*T15調整控除!$B$48,B21/T13人的控除!$B$49*T15調整控除!$B$49,B30)</f>
        <v>60000</v>
      </c>
      <c r="C31" s="375">
        <f>SUM(T15調整控除!$B$2,C12/T13人的控除!$B$39*T15調整控除!$B$39,C13/T13人的控除!$B$40*T15調整控除!$B$40,C14/T13人的控除!$B$41*T15調整控除!$B$41,C15/T13人的控除!$B$42*T15調整控除!$B$42,C16/T13人的控除!$B$44*T15調整控除!$B$44,C17/T13人的控除!$B$45*T15調整控除!$B$45,C18/T13人的控除!$B$46*T15調整控除!$B$46,C19/T13人的控除!$B$47*T15調整控除!$B$47,C20/T13人的控除!$B$48*T15調整控除!$B$48,C21/T13人的控除!$B$49*T15調整控除!$B$49,C30)</f>
        <v>150000</v>
      </c>
      <c r="D31" s="375">
        <f>SUM(T15調整控除!$B$2,D12/T13人的控除!$B$39*T15調整控除!$B$39,D13/T13人的控除!$B$40*T15調整控除!$B$40,D14/T13人的控除!$B$41*T15調整控除!$B$41,D15/T13人的控除!$B$42*T15調整控除!$B$42,D16/T13人的控除!$B$44*T15調整控除!$B$44,D17/T13人的控除!$B$45*T15調整控除!$B$45,D18/T13人的控除!$B$46*T15調整控除!$B$46,D19/T13人的控除!$B$47*T15調整控除!$B$47,D20/T13人的控除!$B$48*T15調整控除!$B$48,D21/T13人的控除!$B$49*T15調整控除!$B$49,D30)</f>
        <v>50000</v>
      </c>
      <c r="E31" s="150"/>
      <c r="F31" s="150"/>
      <c r="G31" s="150"/>
    </row>
    <row r="32" spans="1:7">
      <c r="A32" s="381" t="s">
        <v>36</v>
      </c>
      <c r="B32" s="375">
        <f>ROUNDDOWN(IF(B28&lt;=T15調整控除!$B$51,IF((MIN(B31,B28))&lt;0,0,MIN(B31,B28))*T15調整控除!$B$52/100,IF((B31-(B28-T15調整控除!$B$51))*T15調整控除!$B$52/100&lt;T15調整控除!$B$53,T15調整控除!$B$53,(B31-(B28-T15調整控除!$B$51))*T15調整控除!$B$52/100)),0)</f>
        <v>0</v>
      </c>
      <c r="C32" s="375">
        <f>ROUNDDOWN(IF(C28&lt;=T15調整控除!$B$51,IF((MIN(C31,C28))&lt;0,0,MIN(C31,C28))*T15調整控除!$B$52/100,IF((C31-(C28-T15調整控除!$B$51))*T15調整控除!$B$52/100&lt;T15調整控除!$B$53,T15調整控除!$B$53,(C31-(C28-T15調整控除!$B$51))*T15調整控除!$B$52/100)),0)</f>
        <v>0</v>
      </c>
      <c r="D32" s="375">
        <f>ROUNDDOWN(IF(D28&lt;=T15調整控除!$B$51,IF((MIN(D31,D28))&lt;0,0,MIN(D31,D28))*T15調整控除!$B$52/100,IF((D31-(D28-T15調整控除!$B$51))*T15調整控除!$B$52/100&lt;T15調整控除!$B$53,T15調整控除!$B$53,(D31-(D28-T15調整控除!$B$51))*T15調整控除!$B$52/100)),0)</f>
        <v>0</v>
      </c>
      <c r="E32" s="150"/>
      <c r="F32" s="150"/>
      <c r="G32" s="150"/>
    </row>
    <row r="33" spans="1:7">
      <c r="A33" s="381" t="s">
        <v>37</v>
      </c>
      <c r="B33" s="375">
        <f>IF((((B25-B8)*T16税率等!$B$2/10)+ROUNDDOWN(B29-B32,-2))&lt;0,0,(((B25-B8)*T16税率等!$B$2/10)+ROUNDDOWN(B29-B32,-2)))</f>
        <v>270000</v>
      </c>
      <c r="C33" s="375">
        <f>IF((((C25-C8)*T16税率等!$B$2/10)+ROUNDDOWN(C29-C32,-2))&lt;0,0,(((C25-C8)*T16税率等!$B$2/10)+ROUNDDOWN(C29-C32,-2)))</f>
        <v>672000</v>
      </c>
      <c r="D33" s="375">
        <f>IF((((D25-D8)*T16税率等!$B$2/10)+ROUNDDOWN(D29-D32,-2))&lt;0,0,(((D25-D8)*T16税率等!$B$2/10)+ROUNDDOWN(D29-D32,-2)))</f>
        <v>270000</v>
      </c>
      <c r="E33" s="150"/>
      <c r="F33" s="150"/>
      <c r="G33" s="150"/>
    </row>
    <row r="34" spans="1:7">
      <c r="A34" s="381" t="s">
        <v>581</v>
      </c>
      <c r="B34" s="375">
        <f>IFERROR(IF(OR(B8&lt;=B26,B8&lt;=B25),0,ROUNDDOWN(IF(OR(B8&lt;=B25,B8&lt;=B25,B29-B32-B33&lt;0),0,B29-B32-B33),-2)),"エラー")</f>
        <v>0</v>
      </c>
      <c r="C34" s="375">
        <f>IFERROR(IF(OR(C8&lt;=C26,C8&lt;=C25),0,ROUNDDOWN(IF(OR(C8&lt;=C25,C8&lt;=C25,C29-C32-C33&lt;0),0,C29-C32-C33),-2)),"エラー")</f>
        <v>0</v>
      </c>
      <c r="D34" s="375">
        <f>IFERROR(IF(OR(D1="生計維持者２",D1="申込者本人の配偶者"),IF(VLOOKUP(海外居住者のための収入等申告書!F37,計算シート!F3:G13,2,0)=2,0,IF(OR(D8&lt;=D26,D8&lt;=D25),0,ROUNDDOWN(IF(OR(D8&lt;=D25,D8&lt;=D25,D29-D32-D33&lt;0),0,D29-D32-D33),-2))),0),"エラー")</f>
        <v>0</v>
      </c>
      <c r="E34" s="150"/>
      <c r="F34" s="150"/>
      <c r="G34" s="150"/>
    </row>
    <row r="35" spans="1:7">
      <c r="A35" s="384" t="s">
        <v>291</v>
      </c>
      <c r="B35" s="386"/>
      <c r="C35" s="375">
        <f>IF(C67=0,IF(VLOOKUP(海外居住者のための収入等申告書!$F$24,計算シート!$F$11:$G$13,2,0)=9,IF(AND($B$2&lt;16,$B$8&lt;=T11所得区分!$B$5+IF(C50=1,100000,0)),1,0),0),0)</f>
        <v>0</v>
      </c>
      <c r="D35" s="375">
        <f>IF(C67=0,IF(VLOOKUP(海外居住者のための収入等申告書!$F$24,計算シート!$F$11:$G$13,2,0)=10,IF(AND($B$2&lt;16,$B$8&lt;=T11所得区分!$B$5+IF(C50=1,100000,0)),1,0),0),0)</f>
        <v>0</v>
      </c>
      <c r="E35" s="150"/>
      <c r="F35" s="150"/>
      <c r="G35" s="150"/>
    </row>
    <row r="36" spans="1:7">
      <c r="A36" s="384" t="s">
        <v>285</v>
      </c>
      <c r="B36" s="387"/>
      <c r="C36" s="377">
        <f>IF(C67=0,IF(VLOOKUP(海外居住者のための収入等申告書!$F$24,計算シート!$F$11:$G$13,2,0)=9,IF(AND(OR(AND($B$2&gt;=16,$B$2&lt;=18),$B$2&gt;22),$B$8&lt;=T11所得区分!$B$5+IF(C50=1,100000,0)),1,0),0),0)</f>
        <v>0</v>
      </c>
      <c r="D36" s="377">
        <f>IF(C67=0,IF(VLOOKUP(海外居住者のための収入等申告書!$F$24,計算シート!$F$11:$G$13,2,0)=10,IF(AND(OR(AND($B$2&gt;=16,$B$2&lt;=18),$B$2&gt;22),$B$8&lt;=T11所得区分!$B$5+IF(C50=1,100000,0)),1,0),0),0)</f>
        <v>0</v>
      </c>
      <c r="E36" s="150"/>
      <c r="F36" s="150"/>
      <c r="G36" s="150"/>
    </row>
    <row r="37" spans="1:7">
      <c r="A37" s="384" t="s">
        <v>286</v>
      </c>
      <c r="B37" s="387"/>
      <c r="C37" s="377">
        <f>IF(C67=0,IF(VLOOKUP(海外居住者のための収入等申告書!$F$24,計算シート!$F$11:$G$13,2,0)=9,IF(AND(AND($B$2&gt;=19,$B$2&lt;=22),$B$8&lt;=T11所得区分!$B$5+IF(C50=1,100000,0)),1,0),0),0)</f>
        <v>0</v>
      </c>
      <c r="D37" s="377">
        <f>IF(C67=0,IF(VLOOKUP(海外居住者のための収入等申告書!$F$24,計算シート!$F$11:$G$13,2,0)=10,IF(AND(AND($B$2&gt;=19,$B$2&lt;=22),$B$8&lt;=T11所得区分!$B$5+IF(C50=1,100000,0)),1,0),0),0)</f>
        <v>0</v>
      </c>
      <c r="E37" s="150"/>
      <c r="F37" s="150"/>
      <c r="G37" s="150"/>
    </row>
    <row r="38" spans="1:7">
      <c r="A38" s="384" t="s">
        <v>287</v>
      </c>
      <c r="B38" s="387"/>
      <c r="C38" s="377">
        <f>IF(C67=0,IF(AND(SUM(C35:C37)&gt;0,$B$16&gt;0),1,0),0)</f>
        <v>0</v>
      </c>
      <c r="D38" s="377">
        <f>IF(C67=0,IF(AND(SUM(D35:D37)&gt;0,$B$16&gt;0),1,0),0)</f>
        <v>0</v>
      </c>
      <c r="E38" s="150"/>
      <c r="F38" s="150"/>
      <c r="G38" s="150"/>
    </row>
    <row r="39" spans="1:7">
      <c r="A39" s="384" t="s">
        <v>288</v>
      </c>
      <c r="B39" s="387"/>
      <c r="C39" s="377">
        <f>IF(C67=0,IF(AND(SUM(C35:C37)&gt;0,$B$17&gt;0,C40=0),1,0),0)</f>
        <v>0</v>
      </c>
      <c r="D39" s="377">
        <f>IF(C67=0,IF(AND(SUM(D35:D37)&gt;0,$B$17&gt;0,D40=0),1,0),0)</f>
        <v>0</v>
      </c>
      <c r="E39" s="150"/>
      <c r="F39" s="150"/>
      <c r="G39" s="150"/>
    </row>
    <row r="40" spans="1:7">
      <c r="A40" s="384" t="s">
        <v>289</v>
      </c>
      <c r="B40" s="387"/>
      <c r="C40" s="377">
        <f>IF(C67=0,IF(AND(SUM(C35:C37)&gt;0,$B$17&gt;0,VLOOKUP(海外居住者のための収入等申告書!$F$26,計算シート!$F$3:$G$13,2,0)=1),1,0),0)</f>
        <v>0</v>
      </c>
      <c r="D40" s="377">
        <f>IF(C67=0,IF(AND(SUM(D35:D37)&gt;0,$B$17&gt;0,VLOOKUP(海外居住者のための収入等申告書!$F$26,計算シート!$F$3:$G$13,2,0)=1),1,0),0)</f>
        <v>0</v>
      </c>
      <c r="E40" s="150"/>
      <c r="F40" s="150"/>
      <c r="G40" s="150"/>
    </row>
    <row r="41" spans="1:7">
      <c r="A41" s="384" t="s">
        <v>313</v>
      </c>
      <c r="B41" s="387"/>
      <c r="C41" s="375">
        <f>SUM(C3,C5)</f>
        <v>0</v>
      </c>
      <c r="D41" s="375">
        <f>SUM(D3,D5)</f>
        <v>0</v>
      </c>
      <c r="E41" s="150"/>
      <c r="F41" s="150"/>
      <c r="G41" s="150"/>
    </row>
    <row r="42" spans="1:7">
      <c r="A42" s="384" t="s">
        <v>314</v>
      </c>
      <c r="B42" s="387"/>
      <c r="C42" s="375">
        <f>C7</f>
        <v>0</v>
      </c>
      <c r="D42" s="375">
        <f>D7</f>
        <v>0</v>
      </c>
      <c r="E42" s="150"/>
      <c r="F42" s="150"/>
      <c r="G42" s="150"/>
    </row>
    <row r="43" spans="1:7">
      <c r="A43" s="384" t="s">
        <v>396</v>
      </c>
      <c r="B43" s="387"/>
      <c r="C43" s="377">
        <f>IFERROR(VLOOKUP(海外居住者のための収入等申告書!L10,計算シート!F15:G22,2,0),0)</f>
        <v>5</v>
      </c>
      <c r="D43" s="392"/>
      <c r="E43" s="150"/>
      <c r="F43" s="150"/>
      <c r="G43" s="150"/>
    </row>
    <row r="44" spans="1:7">
      <c r="A44" s="384" t="s">
        <v>400</v>
      </c>
      <c r="B44" s="387"/>
      <c r="C44" s="377">
        <f>IF(海外居住者のための収入等申告書!D10=0,2020,海外居住者のための収入等申告書!D10)</f>
        <v>2025</v>
      </c>
      <c r="D44" s="392"/>
      <c r="E44" s="150"/>
      <c r="F44" s="150"/>
      <c r="G44" s="150"/>
    </row>
    <row r="45" spans="1:7">
      <c r="A45" s="384" t="s">
        <v>405</v>
      </c>
      <c r="B45" s="387"/>
      <c r="C45" s="377">
        <f>IF(OR(C43=2,C43=6),0,1)</f>
        <v>1</v>
      </c>
      <c r="D45" s="392"/>
      <c r="E45" s="150"/>
      <c r="F45" s="150"/>
      <c r="G45" s="150"/>
    </row>
    <row r="46" spans="1:7">
      <c r="A46" s="384" t="s">
        <v>402</v>
      </c>
      <c r="B46" s="387"/>
      <c r="C46" s="378">
        <f>IF(C45=0,DATE(C44-1,1,1),DATE(C44,1,1))</f>
        <v>45658</v>
      </c>
      <c r="D46" s="392"/>
      <c r="E46" s="150"/>
      <c r="F46" s="150"/>
      <c r="G46" s="150"/>
    </row>
    <row r="47" spans="1:7">
      <c r="A47" s="384" t="s">
        <v>412</v>
      </c>
      <c r="B47" s="387"/>
      <c r="C47" s="379">
        <f>YEAR(前年レート!K3)</f>
        <v>2023</v>
      </c>
      <c r="D47" s="392"/>
      <c r="E47" s="150"/>
      <c r="F47" s="150"/>
      <c r="G47" s="150"/>
    </row>
    <row r="48" spans="1:7">
      <c r="A48" s="384" t="s">
        <v>413</v>
      </c>
      <c r="B48" s="387"/>
      <c r="C48" s="379">
        <f>YEAR(当年レート!K3)</f>
        <v>2024</v>
      </c>
      <c r="D48" s="392"/>
      <c r="E48" s="150"/>
      <c r="F48" s="150"/>
      <c r="G48" s="150"/>
    </row>
    <row r="49" spans="1:7">
      <c r="A49" s="384" t="s">
        <v>414</v>
      </c>
      <c r="B49" s="387"/>
      <c r="C49" s="377">
        <f>IF(YEAR(C46)-1=C47,1,IF(YEAR(C46)-1=C48,2,0))</f>
        <v>2</v>
      </c>
      <c r="D49" s="392"/>
      <c r="E49" s="150"/>
      <c r="F49" s="150"/>
      <c r="G49" s="150"/>
    </row>
    <row r="50" spans="1:7">
      <c r="A50" s="384" t="s">
        <v>580</v>
      </c>
      <c r="B50" s="387"/>
      <c r="C50" s="51">
        <f>IF(C44&lt;=2020,0,IF(AND(C44=2020,C43=2),0,1))</f>
        <v>1</v>
      </c>
      <c r="D50" s="55"/>
    </row>
    <row r="51" spans="1:7">
      <c r="A51" s="464" t="s">
        <v>1105</v>
      </c>
      <c r="B51" s="465"/>
      <c r="C51" s="541">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0)</f>
        <v>0</v>
      </c>
      <c r="D51" s="541">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0)</f>
        <v>0</v>
      </c>
    </row>
    <row r="52" spans="1:7">
      <c r="A52" s="464" t="s">
        <v>1104</v>
      </c>
      <c r="B52" s="465"/>
      <c r="C52" s="541">
        <f>MAX(SUM(C51,C6,C7,C54),0)</f>
        <v>0</v>
      </c>
      <c r="D52" s="541">
        <f>MAX(SUM(D51,D6,D7,D54),0)</f>
        <v>0</v>
      </c>
    </row>
    <row r="53" spans="1:7">
      <c r="A53" s="384" t="s">
        <v>604</v>
      </c>
      <c r="B53" s="387"/>
      <c r="C53" s="541">
        <f>IF($C$50=0,0,IF(AND(SUM(海外居住者のための収入等申告書!F51:F53,海外居住者のための収入等申告書!L51:L53,C35:D37,C39:D40,IF(OR(海外居住者のための収入等申告書!F39="特別の障がい者である",AND(海外居住者のための収入等申告書!L39="特別の障がい者である",計算シート!D52&lt;T11所得区分!$B$5+IF(C50=1,100000,0))),1,0))&gt;0,C3&gt;8500000),ROUNDUP((MIN(C3,T11所得区分!$B$78)-8500000)*0.1,0),0))</f>
        <v>0</v>
      </c>
      <c r="D53" s="541">
        <f>IF($C$50=0,0,IF(AND(SUM(海外居住者のための収入等申告書!F51:F53,海外居住者のための収入等申告書!L51:L53,C35:D37,C39:D40,IF(OR(海外居住者のための収入等申告書!L39="特別の障がい者である",AND(海外居住者のための収入等申告書!F39="特別の障がい者である",計算シート!C52&lt;T11所得区分!$B$5+IF(C50=1,100000,0))),1,0))&gt;0,D3&gt;8500000),ROUNDUP((MIN(D3,T11所得区分!$B$78)-8500000)*0.1,0),0))</f>
        <v>0</v>
      </c>
    </row>
    <row r="54" spans="1:7">
      <c r="A54" s="385" t="s">
        <v>605</v>
      </c>
      <c r="B54" s="388"/>
      <c r="C54" s="541">
        <f>IF(AND($C$50=1,C51&gt;0,C6&gt;0,SUM(C51,C6)&gt;T11所得区分!$B$79),SUM(MIN(計算シート!C51,T11所得区分!$B$79),MIN(計算シート!C6,T11所得区分!$B$79),-100000),0)</f>
        <v>0</v>
      </c>
      <c r="D54" s="541">
        <f>IF(AND($C$50=1,D51&gt;0,D6&gt;0,SUM(D51,D6)&gt;T11所得区分!$B$79),SUM(MIN(計算シート!D51,T11所得区分!$B$79),MIN(計算シート!D6,T11所得区分!$B$79),-100000),0)</f>
        <v>0</v>
      </c>
    </row>
    <row r="55" spans="1:7">
      <c r="A55" s="384" t="s">
        <v>634</v>
      </c>
      <c r="B55" s="387"/>
      <c r="C55" s="51">
        <f>IF(YEAR(C46)&gt;2021,1,0)</f>
        <v>1</v>
      </c>
      <c r="D55" s="55"/>
    </row>
    <row r="56" spans="1:7">
      <c r="A56" s="384" t="s">
        <v>635</v>
      </c>
      <c r="B56" s="387"/>
      <c r="C56" s="377">
        <f>IFERROR(DATEDIF(IF(計算シート!C67=0,海外居住者のための収入等申告書!F23,海外居住者のための収入等申告書!F35),C46-1,"y"),125)</f>
        <v>124</v>
      </c>
      <c r="D56" s="55"/>
    </row>
    <row r="57" spans="1:7">
      <c r="A57" s="384" t="s">
        <v>387</v>
      </c>
      <c r="B57" s="387"/>
      <c r="C57" s="377">
        <f>IFERROR(VALUE(TEXT(MONTH(IF(計算シート!C67=0,海外居住者のための収入等申告書!F23,海外居住者のための収入等申告書!F35)),"00")&amp;TEXT(DAY(IF(計算シート!C67=0,海外居住者のための収入等申告書!F23,海外居住者のための収入等申告書!F35)),"00")),1000)</f>
        <v>100</v>
      </c>
      <c r="D57" s="55"/>
    </row>
    <row r="58" spans="1:7">
      <c r="A58" s="384" t="s">
        <v>636</v>
      </c>
      <c r="B58" s="387"/>
      <c r="C58" s="51">
        <f>IF(計算シート!C67=0,IFERROR(IF(AND(C55=1,C56=18,C57&gt;101,C57&lt;=401),1,0),0),0)</f>
        <v>0</v>
      </c>
      <c r="D58" s="55"/>
    </row>
    <row r="59" spans="1:7">
      <c r="A59" s="384" t="s">
        <v>637</v>
      </c>
      <c r="B59" s="387"/>
      <c r="C59" s="51">
        <f>IF(AND(C58=1,SUM(C36)&gt;0,IF(SUM(D36)&gt;0,IF(C34&gt;=D34,1,0),1)&gt;0),7200,0)</f>
        <v>0</v>
      </c>
      <c r="D59" s="51">
        <f>IF(AND(C58=1,SUM(D36)&gt;0,IF(SUM(C36)&gt;0,IF(C34&lt;D34,1,0),1)&gt;0),7200,0)</f>
        <v>0</v>
      </c>
    </row>
    <row r="60" spans="1:7">
      <c r="A60" s="384" t="s">
        <v>638</v>
      </c>
      <c r="B60" s="387"/>
      <c r="C60" s="393">
        <f>IFERROR(MAX(0,C34-C59),C34)</f>
        <v>0</v>
      </c>
      <c r="D60" s="393">
        <f>IFERROR(MAX(0,D34-D59),D34)</f>
        <v>0</v>
      </c>
    </row>
    <row r="61" spans="1:7">
      <c r="A61" s="384" t="s">
        <v>868</v>
      </c>
      <c r="B61" s="387"/>
      <c r="C61" s="51">
        <f>IFERROR(IF(OR(C8&lt;=C26,C8&lt;=C25,C29-C32-C59&lt;0),0,ROUNDDOWN(C29-C32-C59,-2)),"エラー")</f>
        <v>0</v>
      </c>
      <c r="D61" s="51">
        <f>IFERROR(IF(OR(D1="生計維持者２",D1="申込者本人の配偶者"),IF(VLOOKUP(海外居住者のための収入等申告書!F37,計算シート!F3:G13,2,0)=2,0,IF(OR(D8&lt;=D26,D8&lt;=D25,D29-D32-D59&lt;0),0,ROUNDDOWN(D29-D32-D59,-2))),0),"エラー")</f>
        <v>0</v>
      </c>
    </row>
    <row r="62" spans="1:7">
      <c r="A62" s="384" t="s">
        <v>863</v>
      </c>
      <c r="B62" s="387"/>
      <c r="C62" s="402">
        <f>IF(OR(AND(C44&gt;2023,C43&lt;5),AND(C44&gt;2024,C43&gt;=5),AND(C44=2023,C43=1),AND(C44=2024,C43=5)),1,0)</f>
        <v>1</v>
      </c>
      <c r="D62" s="55"/>
    </row>
    <row r="63" spans="1:7">
      <c r="A63" s="464" t="s">
        <v>1072</v>
      </c>
      <c r="B63" s="465"/>
      <c r="C63" s="466">
        <f>IFERROR(IF(OR(VLOOKUP(海外居住者のための収入等申告書!I15,計算シート!F24:G29,2,0)&lt;5,海外居住者のための収入等申告書!I13&lt;=海外居住者のための収入等申告書!F35),1,0),0)</f>
        <v>1</v>
      </c>
      <c r="D63" s="402">
        <f>IFERROR(IF(D1="生計維持者２",1,0),0)</f>
        <v>0</v>
      </c>
    </row>
    <row r="64" spans="1:7">
      <c r="A64" s="464" t="s">
        <v>861</v>
      </c>
      <c r="B64" s="465"/>
      <c r="C64" s="398">
        <f>IF(計算シート!C67=0,SUM(海外居住者のための収入等申告書!F51:F53,MAX(0,海外居住者のための収入等申告書!F54-海外居住者のための収入等申告書!H54))+IF(D1="生計維持者２",SUM(海外居住者のための収入等申告書!L51:L53,MAX(0,海外居住者のための収入等申告書!L54-海外居住者のための収入等申告書!N54)),0)+C65,0)</f>
        <v>0</v>
      </c>
      <c r="D64" s="55"/>
    </row>
    <row r="65" spans="1:4">
      <c r="A65" s="464" t="s">
        <v>1068</v>
      </c>
      <c r="B65" s="465"/>
      <c r="C65" s="402">
        <f>IF(OR(AND(C63=1,SUM(C35:C37)&gt;0),AND(D63=1,SUM(D35:D37)&gt;0)),1,0)</f>
        <v>0</v>
      </c>
      <c r="D65" s="198"/>
    </row>
    <row r="66" spans="1:4">
      <c r="A66" s="400" t="s">
        <v>862</v>
      </c>
      <c r="B66" s="401"/>
      <c r="C66" s="460">
        <f>IF(計算シート!C67=0,IF(OR(SUM(C19:D21)&gt;0,SUM(C9:D9)=0),1,0),0)</f>
        <v>0</v>
      </c>
      <c r="D66" s="55"/>
    </row>
    <row r="67" spans="1:4">
      <c r="A67" s="461" t="s">
        <v>928</v>
      </c>
      <c r="B67" s="462"/>
      <c r="C67" s="463">
        <f>IF(VLOOKUP(海外居住者のための収入等申告書!L10,計算シート!F14:G22,2,0)&gt;4,1,0)</f>
        <v>1</v>
      </c>
      <c r="D67" s="55"/>
    </row>
  </sheetData>
  <phoneticPr fontId="2"/>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2"/>
  <sheetViews>
    <sheetView topLeftCell="DR1" workbookViewId="0">
      <selection activeCell="DJ1" sqref="DJ1"/>
    </sheetView>
  </sheetViews>
  <sheetFormatPr defaultRowHeight="13.5"/>
  <cols>
    <col min="1" max="1" width="24.5" bestFit="1" customWidth="1"/>
  </cols>
  <sheetData>
    <row r="1" spans="1:153">
      <c r="A1" s="390" t="s">
        <v>784</v>
      </c>
      <c r="B1" s="381" t="s">
        <v>640</v>
      </c>
      <c r="C1" s="381" t="s">
        <v>641</v>
      </c>
      <c r="D1" s="381" t="s">
        <v>642</v>
      </c>
      <c r="E1" s="381" t="s">
        <v>643</v>
      </c>
      <c r="F1" s="381" t="s">
        <v>644</v>
      </c>
      <c r="G1" s="381" t="s">
        <v>645</v>
      </c>
      <c r="H1" s="381" t="s">
        <v>646</v>
      </c>
      <c r="I1" s="381" t="s">
        <v>647</v>
      </c>
      <c r="J1" s="381" t="s">
        <v>648</v>
      </c>
      <c r="K1" s="381" t="s">
        <v>649</v>
      </c>
      <c r="L1" s="381" t="s">
        <v>650</v>
      </c>
      <c r="M1" s="381" t="s">
        <v>651</v>
      </c>
      <c r="N1" s="381" t="s">
        <v>652</v>
      </c>
      <c r="O1" s="381" t="s">
        <v>653</v>
      </c>
      <c r="P1" s="381" t="s">
        <v>654</v>
      </c>
      <c r="Q1" s="381" t="s">
        <v>655</v>
      </c>
      <c r="R1" s="381" t="s">
        <v>656</v>
      </c>
      <c r="S1" s="382" t="s">
        <v>657</v>
      </c>
      <c r="T1" s="381" t="s">
        <v>658</v>
      </c>
      <c r="U1" s="381" t="s">
        <v>1094</v>
      </c>
      <c r="V1" s="381" t="s">
        <v>659</v>
      </c>
      <c r="W1" s="381" t="s">
        <v>660</v>
      </c>
      <c r="X1" s="381" t="s">
        <v>661</v>
      </c>
      <c r="Y1" s="381" t="s">
        <v>662</v>
      </c>
      <c r="Z1" s="381" t="s">
        <v>663</v>
      </c>
      <c r="AA1" s="381" t="s">
        <v>664</v>
      </c>
      <c r="AB1" s="381" t="s">
        <v>665</v>
      </c>
      <c r="AC1" s="381" t="s">
        <v>666</v>
      </c>
      <c r="AD1" s="381" t="s">
        <v>667</v>
      </c>
      <c r="AE1" s="381" t="s">
        <v>668</v>
      </c>
      <c r="AF1" s="381" t="s">
        <v>669</v>
      </c>
      <c r="AG1" s="381" t="s">
        <v>670</v>
      </c>
      <c r="AH1" s="381" t="s">
        <v>671</v>
      </c>
      <c r="AI1" s="381" t="s">
        <v>672</v>
      </c>
      <c r="AJ1" s="381" t="s">
        <v>673</v>
      </c>
      <c r="AK1" s="381" t="s">
        <v>674</v>
      </c>
      <c r="AL1" s="381" t="s">
        <v>675</v>
      </c>
      <c r="AM1" s="381" t="s">
        <v>676</v>
      </c>
      <c r="AN1" s="381" t="s">
        <v>677</v>
      </c>
      <c r="AO1" s="381" t="s">
        <v>678</v>
      </c>
      <c r="AP1" s="381" t="s">
        <v>679</v>
      </c>
      <c r="AQ1" s="381" t="s">
        <v>680</v>
      </c>
      <c r="AR1" s="381" t="s">
        <v>681</v>
      </c>
      <c r="AS1" s="381" t="s">
        <v>682</v>
      </c>
      <c r="AT1" s="381" t="s">
        <v>683</v>
      </c>
      <c r="AU1" s="381" t="s">
        <v>684</v>
      </c>
      <c r="AV1" s="381" t="s">
        <v>685</v>
      </c>
      <c r="AW1" s="381" t="s">
        <v>686</v>
      </c>
      <c r="AX1" s="381" t="s">
        <v>687</v>
      </c>
      <c r="AY1" s="381" t="s">
        <v>688</v>
      </c>
      <c r="AZ1" s="382" t="s">
        <v>689</v>
      </c>
      <c r="BA1" s="381" t="s">
        <v>690</v>
      </c>
      <c r="BB1" s="381" t="s">
        <v>1095</v>
      </c>
      <c r="BC1" s="381" t="s">
        <v>691</v>
      </c>
      <c r="BD1" s="381" t="s">
        <v>692</v>
      </c>
      <c r="BE1" s="381" t="s">
        <v>693</v>
      </c>
      <c r="BF1" s="381" t="s">
        <v>694</v>
      </c>
      <c r="BG1" s="381" t="s">
        <v>695</v>
      </c>
      <c r="BH1" s="381" t="s">
        <v>696</v>
      </c>
      <c r="BI1" s="381" t="s">
        <v>697</v>
      </c>
      <c r="BJ1" s="381" t="s">
        <v>698</v>
      </c>
      <c r="BK1" s="381" t="s">
        <v>699</v>
      </c>
      <c r="BL1" s="381" t="s">
        <v>700</v>
      </c>
      <c r="BM1" s="381" t="s">
        <v>701</v>
      </c>
      <c r="BN1" s="381" t="s">
        <v>702</v>
      </c>
      <c r="BO1" s="381" t="s">
        <v>703</v>
      </c>
      <c r="BP1" s="383" t="s">
        <v>704</v>
      </c>
      <c r="BQ1" s="383" t="s">
        <v>705</v>
      </c>
      <c r="BR1" s="383" t="s">
        <v>706</v>
      </c>
      <c r="BS1" s="383" t="s">
        <v>707</v>
      </c>
      <c r="BT1" s="383" t="s">
        <v>708</v>
      </c>
      <c r="BU1" s="383" t="s">
        <v>709</v>
      </c>
      <c r="BV1" s="383" t="s">
        <v>710</v>
      </c>
      <c r="BW1" s="383" t="s">
        <v>711</v>
      </c>
      <c r="BX1" s="383" t="s">
        <v>712</v>
      </c>
      <c r="BY1" s="383" t="s">
        <v>713</v>
      </c>
      <c r="BZ1" s="383" t="s">
        <v>714</v>
      </c>
      <c r="CA1" s="383" t="s">
        <v>715</v>
      </c>
      <c r="CB1" s="383" t="s">
        <v>716</v>
      </c>
      <c r="CC1" s="383" t="s">
        <v>717</v>
      </c>
      <c r="CD1" s="383" t="s">
        <v>718</v>
      </c>
      <c r="CE1" s="384" t="s">
        <v>719</v>
      </c>
      <c r="CF1" s="384" t="s">
        <v>720</v>
      </c>
      <c r="CG1" s="385" t="s">
        <v>721</v>
      </c>
      <c r="CH1" s="389" t="s">
        <v>722</v>
      </c>
      <c r="CI1" s="389" t="s">
        <v>723</v>
      </c>
      <c r="CJ1" s="389" t="s">
        <v>724</v>
      </c>
      <c r="CK1" s="389" t="s">
        <v>725</v>
      </c>
      <c r="CL1" s="389" t="s">
        <v>726</v>
      </c>
      <c r="CM1" s="389" t="s">
        <v>727</v>
      </c>
      <c r="CN1" s="381" t="s">
        <v>728</v>
      </c>
      <c r="CO1" s="381" t="s">
        <v>729</v>
      </c>
      <c r="CP1" s="381" t="s">
        <v>730</v>
      </c>
      <c r="CQ1" s="381" t="s">
        <v>731</v>
      </c>
      <c r="CR1" s="381" t="s">
        <v>732</v>
      </c>
      <c r="CS1" s="381" t="s">
        <v>733</v>
      </c>
      <c r="CT1" s="381" t="s">
        <v>734</v>
      </c>
      <c r="CU1" s="381" t="s">
        <v>735</v>
      </c>
      <c r="CV1" s="381" t="s">
        <v>736</v>
      </c>
      <c r="CW1" s="381" t="s">
        <v>737</v>
      </c>
      <c r="CX1" s="381" t="s">
        <v>738</v>
      </c>
      <c r="CY1" s="381" t="s">
        <v>739</v>
      </c>
      <c r="CZ1" s="381" t="s">
        <v>740</v>
      </c>
      <c r="DA1" s="381" t="s">
        <v>741</v>
      </c>
      <c r="DB1" s="381" t="s">
        <v>742</v>
      </c>
      <c r="DC1" s="381" t="s">
        <v>743</v>
      </c>
      <c r="DD1" s="381" t="s">
        <v>744</v>
      </c>
      <c r="DE1" s="382" t="s">
        <v>745</v>
      </c>
      <c r="DF1" s="381" t="s">
        <v>746</v>
      </c>
      <c r="DG1" s="381" t="s">
        <v>1096</v>
      </c>
      <c r="DH1" s="381" t="s">
        <v>747</v>
      </c>
      <c r="DI1" s="381" t="s">
        <v>748</v>
      </c>
      <c r="DJ1" s="381" t="s">
        <v>749</v>
      </c>
      <c r="DK1" s="381" t="s">
        <v>750</v>
      </c>
      <c r="DL1" s="381" t="s">
        <v>751</v>
      </c>
      <c r="DM1" s="381" t="s">
        <v>752</v>
      </c>
      <c r="DN1" s="381" t="s">
        <v>753</v>
      </c>
      <c r="DO1" s="381" t="s">
        <v>754</v>
      </c>
      <c r="DP1" s="381" t="s">
        <v>755</v>
      </c>
      <c r="DQ1" s="381" t="s">
        <v>756</v>
      </c>
      <c r="DR1" s="381" t="s">
        <v>757</v>
      </c>
      <c r="DS1" s="381" t="s">
        <v>758</v>
      </c>
      <c r="DT1" s="381" t="s">
        <v>759</v>
      </c>
      <c r="DU1" s="383" t="s">
        <v>760</v>
      </c>
      <c r="DV1" s="383" t="s">
        <v>761</v>
      </c>
      <c r="DW1" s="383" t="s">
        <v>762</v>
      </c>
      <c r="DX1" s="383" t="s">
        <v>763</v>
      </c>
      <c r="DY1" s="383" t="s">
        <v>764</v>
      </c>
      <c r="DZ1" s="383" t="s">
        <v>765</v>
      </c>
      <c r="EA1" s="383" t="s">
        <v>766</v>
      </c>
      <c r="EB1" s="383" t="s">
        <v>767</v>
      </c>
      <c r="EC1" s="383" t="s">
        <v>768</v>
      </c>
      <c r="ED1" s="383" t="s">
        <v>769</v>
      </c>
      <c r="EE1" s="383" t="s">
        <v>770</v>
      </c>
      <c r="EF1" s="383" t="s">
        <v>771</v>
      </c>
      <c r="EG1" s="383" t="s">
        <v>772</v>
      </c>
      <c r="EH1" s="383" t="s">
        <v>773</v>
      </c>
      <c r="EI1" s="383" t="s">
        <v>774</v>
      </c>
      <c r="EJ1" s="384" t="s">
        <v>775</v>
      </c>
      <c r="EK1" s="384" t="s">
        <v>776</v>
      </c>
      <c r="EL1" s="385" t="s">
        <v>777</v>
      </c>
      <c r="EM1" s="389" t="s">
        <v>778</v>
      </c>
      <c r="EN1" s="389" t="s">
        <v>779</v>
      </c>
      <c r="EO1" s="389" t="s">
        <v>780</v>
      </c>
      <c r="EP1" s="389" t="s">
        <v>781</v>
      </c>
      <c r="EQ1" s="389" t="s">
        <v>782</v>
      </c>
      <c r="ER1" s="389" t="s">
        <v>783</v>
      </c>
      <c r="ES1" s="391" t="s">
        <v>864</v>
      </c>
      <c r="ET1" s="391" t="s">
        <v>865</v>
      </c>
      <c r="EU1" s="391" t="s">
        <v>866</v>
      </c>
      <c r="EV1" s="391" t="s">
        <v>1093</v>
      </c>
      <c r="EW1" s="391" t="s">
        <v>867</v>
      </c>
    </row>
    <row r="2" spans="1:153">
      <c r="A2" t="str">
        <f>海外居住者のための収入等申告書!D11&amp;海外居住者のための収入等申告書!H11&amp;海外居住者のための収入等申告書!L11</f>
        <v/>
      </c>
      <c r="B2">
        <f ca="1">INDIRECT("計算シート!B"&amp;COLUMN(B1))</f>
        <v>0</v>
      </c>
      <c r="C2">
        <f t="shared" ref="C2:AH2" ca="1" si="0">INDIRECT("計算シート!B"&amp;COLUMN(C1))</f>
        <v>0</v>
      </c>
      <c r="D2">
        <f t="shared" ca="1" si="0"/>
        <v>0</v>
      </c>
      <c r="E2">
        <f t="shared" ca="1" si="0"/>
        <v>0</v>
      </c>
      <c r="F2">
        <f t="shared" ca="1" si="0"/>
        <v>0</v>
      </c>
      <c r="G2">
        <f t="shared" ca="1" si="0"/>
        <v>0</v>
      </c>
      <c r="H2">
        <f t="shared" ca="1" si="0"/>
        <v>0</v>
      </c>
      <c r="I2">
        <f t="shared" ca="1" si="0"/>
        <v>0</v>
      </c>
      <c r="J2" t="str">
        <f t="shared" ca="1" si="0"/>
        <v>ｐ</v>
      </c>
      <c r="K2">
        <f t="shared" ca="1" si="0"/>
        <v>0</v>
      </c>
      <c r="L2">
        <f t="shared" ca="1" si="0"/>
        <v>0</v>
      </c>
      <c r="M2">
        <f t="shared" ca="1" si="0"/>
        <v>0</v>
      </c>
      <c r="N2">
        <f t="shared" ca="1" si="0"/>
        <v>0</v>
      </c>
      <c r="O2">
        <f t="shared" ca="1" si="0"/>
        <v>0</v>
      </c>
      <c r="P2">
        <f t="shared" ca="1" si="0"/>
        <v>0</v>
      </c>
      <c r="Q2">
        <f t="shared" ca="1" si="0"/>
        <v>0</v>
      </c>
      <c r="R2">
        <f t="shared" ca="1" si="0"/>
        <v>0</v>
      </c>
      <c r="S2">
        <f t="shared" ca="1" si="0"/>
        <v>260000</v>
      </c>
      <c r="T2">
        <f t="shared" ca="1" si="0"/>
        <v>0</v>
      </c>
      <c r="U2">
        <f t="shared" ca="1" si="0"/>
        <v>0</v>
      </c>
      <c r="V2">
        <f t="shared" ca="1" si="0"/>
        <v>430000</v>
      </c>
      <c r="W2">
        <f t="shared" ca="1" si="0"/>
        <v>0</v>
      </c>
      <c r="X2">
        <f t="shared" ca="1" si="0"/>
        <v>0</v>
      </c>
      <c r="Y2">
        <f t="shared" ca="1" si="0"/>
        <v>450000</v>
      </c>
      <c r="Z2">
        <f t="shared" ca="1" si="0"/>
        <v>1350000</v>
      </c>
      <c r="AA2">
        <f t="shared" ca="1" si="0"/>
        <v>690000</v>
      </c>
      <c r="AB2">
        <f t="shared" ca="1" si="0"/>
        <v>0</v>
      </c>
      <c r="AC2">
        <f t="shared" ca="1" si="0"/>
        <v>0</v>
      </c>
      <c r="AD2">
        <f t="shared" ca="1" si="0"/>
        <v>0</v>
      </c>
      <c r="AE2">
        <f t="shared" ca="1" si="0"/>
        <v>60000</v>
      </c>
      <c r="AF2">
        <f t="shared" ca="1" si="0"/>
        <v>0</v>
      </c>
      <c r="AG2">
        <f t="shared" ca="1" si="0"/>
        <v>270000</v>
      </c>
      <c r="AH2">
        <f t="shared" ca="1" si="0"/>
        <v>0</v>
      </c>
      <c r="AI2">
        <f ca="1">INDIRECT("計算シート!c"&amp;COLUMN(AH1)-32)</f>
        <v>125</v>
      </c>
      <c r="AJ2">
        <f t="shared" ref="AJ2:CM2" ca="1" si="1">INDIRECT("計算シート!c"&amp;COLUMN(AI1)-32)</f>
        <v>0</v>
      </c>
      <c r="AK2">
        <f t="shared" ca="1" si="1"/>
        <v>0</v>
      </c>
      <c r="AL2">
        <f t="shared" ca="1" si="1"/>
        <v>0</v>
      </c>
      <c r="AM2">
        <f t="shared" ca="1" si="1"/>
        <v>0</v>
      </c>
      <c r="AN2">
        <f t="shared" ca="1" si="1"/>
        <v>0</v>
      </c>
      <c r="AO2">
        <f t="shared" ca="1" si="1"/>
        <v>0</v>
      </c>
      <c r="AP2">
        <f t="shared" ca="1" si="1"/>
        <v>1</v>
      </c>
      <c r="AQ2" t="str">
        <f t="shared" ca="1" si="1"/>
        <v>A</v>
      </c>
      <c r="AR2">
        <f t="shared" ca="1" si="1"/>
        <v>380000</v>
      </c>
      <c r="AS2">
        <f t="shared" ca="1" si="1"/>
        <v>0</v>
      </c>
      <c r="AT2">
        <f t="shared" ca="1" si="1"/>
        <v>0</v>
      </c>
      <c r="AU2">
        <f t="shared" ca="1" si="1"/>
        <v>0</v>
      </c>
      <c r="AV2">
        <f t="shared" ca="1" si="1"/>
        <v>0</v>
      </c>
      <c r="AW2">
        <f t="shared" ca="1" si="1"/>
        <v>0</v>
      </c>
      <c r="AX2">
        <f t="shared" ca="1" si="1"/>
        <v>0</v>
      </c>
      <c r="AY2">
        <f t="shared" ca="1" si="1"/>
        <v>0</v>
      </c>
      <c r="AZ2">
        <f t="shared" ca="1" si="1"/>
        <v>0</v>
      </c>
      <c r="BA2">
        <f t="shared" ca="1" si="1"/>
        <v>0</v>
      </c>
      <c r="BB2">
        <f t="shared" ca="1" si="1"/>
        <v>0</v>
      </c>
      <c r="BC2">
        <f t="shared" ca="1" si="1"/>
        <v>430000</v>
      </c>
      <c r="BD2">
        <f t="shared" ca="1" si="1"/>
        <v>1</v>
      </c>
      <c r="BE2">
        <f t="shared" ca="1" si="1"/>
        <v>0</v>
      </c>
      <c r="BF2">
        <f t="shared" ca="1" si="1"/>
        <v>1120000</v>
      </c>
      <c r="BG2">
        <f t="shared" ca="1" si="1"/>
        <v>0</v>
      </c>
      <c r="BH2">
        <f t="shared" ca="1" si="1"/>
        <v>810000</v>
      </c>
      <c r="BI2">
        <f t="shared" ca="1" si="1"/>
        <v>0</v>
      </c>
      <c r="BJ2">
        <f t="shared" ca="1" si="1"/>
        <v>0</v>
      </c>
      <c r="BK2">
        <f t="shared" ca="1" si="1"/>
        <v>100000</v>
      </c>
      <c r="BL2">
        <f t="shared" ca="1" si="1"/>
        <v>150000</v>
      </c>
      <c r="BM2">
        <f t="shared" ca="1" si="1"/>
        <v>0</v>
      </c>
      <c r="BN2">
        <f t="shared" ca="1" si="1"/>
        <v>672000</v>
      </c>
      <c r="BO2">
        <f t="shared" ca="1" si="1"/>
        <v>0</v>
      </c>
      <c r="BP2">
        <f t="shared" ca="1" si="1"/>
        <v>0</v>
      </c>
      <c r="BQ2">
        <f t="shared" ca="1" si="1"/>
        <v>0</v>
      </c>
      <c r="BR2">
        <f t="shared" ca="1" si="1"/>
        <v>0</v>
      </c>
      <c r="BS2">
        <f t="shared" ca="1" si="1"/>
        <v>0</v>
      </c>
      <c r="BT2">
        <f t="shared" ca="1" si="1"/>
        <v>0</v>
      </c>
      <c r="BU2">
        <f t="shared" ca="1" si="1"/>
        <v>0</v>
      </c>
      <c r="BV2">
        <f t="shared" ca="1" si="1"/>
        <v>0</v>
      </c>
      <c r="BW2">
        <f t="shared" ca="1" si="1"/>
        <v>0</v>
      </c>
      <c r="BX2">
        <f t="shared" ca="1" si="1"/>
        <v>5</v>
      </c>
      <c r="BY2">
        <f t="shared" ca="1" si="1"/>
        <v>2025</v>
      </c>
      <c r="BZ2">
        <f t="shared" ca="1" si="1"/>
        <v>1</v>
      </c>
      <c r="CA2">
        <f t="shared" ca="1" si="1"/>
        <v>45658</v>
      </c>
      <c r="CB2">
        <f t="shared" ca="1" si="1"/>
        <v>2023</v>
      </c>
      <c r="CC2">
        <f t="shared" ca="1" si="1"/>
        <v>2024</v>
      </c>
      <c r="CD2">
        <f t="shared" ca="1" si="1"/>
        <v>2</v>
      </c>
      <c r="CE2">
        <f t="shared" ca="1" si="1"/>
        <v>1</v>
      </c>
      <c r="CF2">
        <f t="shared" ca="1" si="1"/>
        <v>0</v>
      </c>
      <c r="CG2">
        <f t="shared" ca="1" si="1"/>
        <v>0</v>
      </c>
      <c r="CH2">
        <f t="shared" ca="1" si="1"/>
        <v>0</v>
      </c>
      <c r="CI2">
        <f t="shared" ca="1" si="1"/>
        <v>0</v>
      </c>
      <c r="CJ2">
        <f t="shared" ca="1" si="1"/>
        <v>1</v>
      </c>
      <c r="CK2">
        <f t="shared" ca="1" si="1"/>
        <v>124</v>
      </c>
      <c r="CL2">
        <f t="shared" ca="1" si="1"/>
        <v>100</v>
      </c>
      <c r="CM2">
        <f t="shared" ca="1" si="1"/>
        <v>0</v>
      </c>
      <c r="CN2">
        <f ca="1">INDIRECT("計算シート!d"&amp;COLUMN(CM1)-89)</f>
        <v>125</v>
      </c>
      <c r="CO2">
        <f t="shared" ref="CO2:ER2" ca="1" si="2">INDIRECT("計算シート!d"&amp;COLUMN(CN1)-89)</f>
        <v>0</v>
      </c>
      <c r="CP2">
        <f t="shared" ca="1" si="2"/>
        <v>0</v>
      </c>
      <c r="CQ2">
        <f t="shared" ca="1" si="2"/>
        <v>0</v>
      </c>
      <c r="CR2">
        <f t="shared" ca="1" si="2"/>
        <v>0</v>
      </c>
      <c r="CS2">
        <f t="shared" ca="1" si="2"/>
        <v>0</v>
      </c>
      <c r="CT2">
        <f t="shared" ca="1" si="2"/>
        <v>0</v>
      </c>
      <c r="CU2">
        <f t="shared" ca="1" si="2"/>
        <v>1</v>
      </c>
      <c r="CV2" t="str">
        <f t="shared" ca="1" si="2"/>
        <v>e</v>
      </c>
      <c r="CW2">
        <f t="shared" ca="1" si="2"/>
        <v>0</v>
      </c>
      <c r="CX2">
        <f t="shared" ca="1" si="2"/>
        <v>0</v>
      </c>
      <c r="CY2">
        <f t="shared" ca="1" si="2"/>
        <v>0</v>
      </c>
      <c r="CZ2">
        <f t="shared" ca="1" si="2"/>
        <v>0</v>
      </c>
      <c r="DA2">
        <f t="shared" ca="1" si="2"/>
        <v>0</v>
      </c>
      <c r="DB2">
        <f t="shared" ca="1" si="2"/>
        <v>0</v>
      </c>
      <c r="DC2">
        <f t="shared" ca="1" si="2"/>
        <v>0</v>
      </c>
      <c r="DD2">
        <f t="shared" ca="1" si="2"/>
        <v>0</v>
      </c>
      <c r="DE2">
        <f t="shared" ca="1" si="2"/>
        <v>0</v>
      </c>
      <c r="DF2">
        <f t="shared" ca="1" si="2"/>
        <v>0</v>
      </c>
      <c r="DG2">
        <f t="shared" ca="1" si="2"/>
        <v>0</v>
      </c>
      <c r="DH2">
        <f t="shared" ca="1" si="2"/>
        <v>430000</v>
      </c>
      <c r="DI2">
        <f t="shared" ca="1" si="2"/>
        <v>0</v>
      </c>
      <c r="DJ2">
        <f t="shared" ca="1" si="2"/>
        <v>0</v>
      </c>
      <c r="DK2">
        <f t="shared" ca="1" si="2"/>
        <v>450000</v>
      </c>
      <c r="DL2">
        <f t="shared" ca="1" si="2"/>
        <v>0</v>
      </c>
      <c r="DM2">
        <f t="shared" ca="1" si="2"/>
        <v>430000</v>
      </c>
      <c r="DN2">
        <f t="shared" ca="1" si="2"/>
        <v>0</v>
      </c>
      <c r="DO2">
        <f t="shared" ca="1" si="2"/>
        <v>0</v>
      </c>
      <c r="DP2">
        <f t="shared" ca="1" si="2"/>
        <v>0</v>
      </c>
      <c r="DQ2">
        <f t="shared" ca="1" si="2"/>
        <v>50000</v>
      </c>
      <c r="DR2">
        <f t="shared" ca="1" si="2"/>
        <v>0</v>
      </c>
      <c r="DS2">
        <f t="shared" ca="1" si="2"/>
        <v>270000</v>
      </c>
      <c r="DT2">
        <f t="shared" ca="1" si="2"/>
        <v>0</v>
      </c>
      <c r="DU2">
        <f t="shared" ca="1" si="2"/>
        <v>0</v>
      </c>
      <c r="DV2">
        <f t="shared" ca="1" si="2"/>
        <v>0</v>
      </c>
      <c r="DW2">
        <f t="shared" ca="1" si="2"/>
        <v>0</v>
      </c>
      <c r="DX2">
        <f t="shared" ca="1" si="2"/>
        <v>0</v>
      </c>
      <c r="DY2">
        <f t="shared" ca="1" si="2"/>
        <v>0</v>
      </c>
      <c r="DZ2">
        <f t="shared" ca="1" si="2"/>
        <v>0</v>
      </c>
      <c r="EA2">
        <f t="shared" ca="1" si="2"/>
        <v>0</v>
      </c>
      <c r="EB2">
        <f t="shared" ca="1" si="2"/>
        <v>0</v>
      </c>
      <c r="EC2">
        <f t="shared" ca="1" si="2"/>
        <v>0</v>
      </c>
      <c r="ED2">
        <f t="shared" ca="1" si="2"/>
        <v>0</v>
      </c>
      <c r="EE2">
        <f t="shared" ca="1" si="2"/>
        <v>0</v>
      </c>
      <c r="EF2">
        <f t="shared" ca="1" si="2"/>
        <v>0</v>
      </c>
      <c r="EG2">
        <f t="shared" ca="1" si="2"/>
        <v>0</v>
      </c>
      <c r="EH2">
        <f t="shared" ca="1" si="2"/>
        <v>0</v>
      </c>
      <c r="EI2">
        <f t="shared" ca="1" si="2"/>
        <v>0</v>
      </c>
      <c r="EJ2">
        <f t="shared" ca="1" si="2"/>
        <v>0</v>
      </c>
      <c r="EK2">
        <f t="shared" ca="1" si="2"/>
        <v>0</v>
      </c>
      <c r="EL2">
        <f t="shared" ca="1" si="2"/>
        <v>0</v>
      </c>
      <c r="EM2">
        <f t="shared" ca="1" si="2"/>
        <v>0</v>
      </c>
      <c r="EN2">
        <f t="shared" ca="1" si="2"/>
        <v>0</v>
      </c>
      <c r="EO2">
        <f t="shared" ca="1" si="2"/>
        <v>0</v>
      </c>
      <c r="EP2">
        <f t="shared" ca="1" si="2"/>
        <v>0</v>
      </c>
      <c r="EQ2">
        <f t="shared" ca="1" si="2"/>
        <v>0</v>
      </c>
      <c r="ER2">
        <f t="shared" ca="1" si="2"/>
        <v>0</v>
      </c>
      <c r="ES2">
        <f>計算シート!C61</f>
        <v>0</v>
      </c>
      <c r="ET2">
        <f>計算シート!D61</f>
        <v>0</v>
      </c>
      <c r="EU2">
        <f>計算シート!C64</f>
        <v>0</v>
      </c>
      <c r="EV2">
        <f>計算シート!C65</f>
        <v>0</v>
      </c>
      <c r="EW2">
        <f>計算シート!C66</f>
        <v>0</v>
      </c>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zoomScaleNormal="100" workbookViewId="0">
      <selection activeCell="C51" sqref="C51"/>
    </sheetView>
  </sheetViews>
  <sheetFormatPr defaultRowHeight="13.5"/>
  <cols>
    <col min="2" max="2" width="9.5" style="55" bestFit="1" customWidth="1"/>
    <col min="4" max="4" width="46.5" bestFit="1" customWidth="1"/>
  </cols>
  <sheetData>
    <row r="1" spans="1:4">
      <c r="A1" s="50" t="s">
        <v>170</v>
      </c>
      <c r="B1" s="49" t="s">
        <v>50</v>
      </c>
      <c r="C1" s="50" t="s">
        <v>51</v>
      </c>
      <c r="D1" s="50" t="s">
        <v>52</v>
      </c>
    </row>
    <row r="2" spans="1:4">
      <c r="A2" s="50">
        <v>1</v>
      </c>
      <c r="B2" s="49">
        <v>9000000</v>
      </c>
      <c r="C2" s="50" t="s">
        <v>53</v>
      </c>
      <c r="D2" s="50" t="s">
        <v>54</v>
      </c>
    </row>
    <row r="3" spans="1:4">
      <c r="A3" s="50">
        <v>2</v>
      </c>
      <c r="B3" s="49">
        <v>9500000</v>
      </c>
      <c r="C3" s="50" t="s">
        <v>53</v>
      </c>
      <c r="D3" s="50" t="s">
        <v>55</v>
      </c>
    </row>
    <row r="4" spans="1:4">
      <c r="A4" s="50">
        <v>3</v>
      </c>
      <c r="B4" s="49">
        <v>10000000</v>
      </c>
      <c r="C4" s="50" t="s">
        <v>53</v>
      </c>
      <c r="D4" s="50" t="s">
        <v>56</v>
      </c>
    </row>
    <row r="5" spans="1:4">
      <c r="A5" s="50">
        <v>4</v>
      </c>
      <c r="B5" s="49">
        <v>380000</v>
      </c>
      <c r="C5" s="50" t="s">
        <v>53</v>
      </c>
      <c r="D5" s="50" t="s">
        <v>57</v>
      </c>
    </row>
    <row r="6" spans="1:4">
      <c r="A6" s="50">
        <v>5</v>
      </c>
      <c r="B6" s="49">
        <v>400000</v>
      </c>
      <c r="C6" s="50" t="s">
        <v>53</v>
      </c>
      <c r="D6" s="50" t="s">
        <v>58</v>
      </c>
    </row>
    <row r="7" spans="1:4">
      <c r="A7" s="50">
        <v>6</v>
      </c>
      <c r="B7" s="49">
        <v>450000</v>
      </c>
      <c r="C7" s="50" t="s">
        <v>53</v>
      </c>
      <c r="D7" s="50" t="s">
        <v>59</v>
      </c>
    </row>
    <row r="8" spans="1:4">
      <c r="A8" s="50">
        <v>7</v>
      </c>
      <c r="B8" s="49">
        <v>900000</v>
      </c>
      <c r="C8" s="50" t="s">
        <v>53</v>
      </c>
      <c r="D8" s="50" t="s">
        <v>60</v>
      </c>
    </row>
    <row r="9" spans="1:4">
      <c r="A9" s="50">
        <v>8</v>
      </c>
      <c r="B9" s="49">
        <v>950000</v>
      </c>
      <c r="C9" s="50" t="s">
        <v>53</v>
      </c>
      <c r="D9" s="50" t="s">
        <v>61</v>
      </c>
    </row>
    <row r="10" spans="1:4">
      <c r="A10" s="50">
        <v>9</v>
      </c>
      <c r="B10" s="51">
        <v>1000000</v>
      </c>
      <c r="C10" s="50" t="s">
        <v>53</v>
      </c>
      <c r="D10" s="50" t="s">
        <v>62</v>
      </c>
    </row>
    <row r="11" spans="1:4">
      <c r="A11" s="50">
        <v>10</v>
      </c>
      <c r="B11" s="51">
        <v>1050000</v>
      </c>
      <c r="C11" s="50" t="s">
        <v>53</v>
      </c>
      <c r="D11" s="50" t="s">
        <v>63</v>
      </c>
    </row>
    <row r="12" spans="1:4">
      <c r="A12" s="50">
        <v>11</v>
      </c>
      <c r="B12" s="51">
        <v>1100000</v>
      </c>
      <c r="C12" s="50" t="s">
        <v>53</v>
      </c>
      <c r="D12" s="50" t="s">
        <v>64</v>
      </c>
    </row>
    <row r="13" spans="1:4">
      <c r="A13" s="50">
        <v>12</v>
      </c>
      <c r="B13" s="51">
        <v>1150000</v>
      </c>
      <c r="C13" s="50" t="s">
        <v>53</v>
      </c>
      <c r="D13" s="50" t="s">
        <v>65</v>
      </c>
    </row>
    <row r="14" spans="1:4">
      <c r="A14" s="50">
        <v>13</v>
      </c>
      <c r="B14" s="51">
        <v>1200000</v>
      </c>
      <c r="C14" s="50" t="s">
        <v>53</v>
      </c>
      <c r="D14" s="50" t="s">
        <v>66</v>
      </c>
    </row>
    <row r="15" spans="1:4">
      <c r="A15" s="50">
        <v>14</v>
      </c>
      <c r="B15" s="51">
        <v>1230000</v>
      </c>
      <c r="C15" s="50" t="s">
        <v>53</v>
      </c>
      <c r="D15" s="50" t="s">
        <v>67</v>
      </c>
    </row>
    <row r="16" spans="1:4">
      <c r="A16" s="50">
        <v>15</v>
      </c>
      <c r="B16" s="49">
        <v>551000</v>
      </c>
      <c r="C16" s="50" t="s">
        <v>53</v>
      </c>
      <c r="D16" s="50" t="s">
        <v>68</v>
      </c>
    </row>
    <row r="17" spans="1:4">
      <c r="A17" s="50">
        <v>16</v>
      </c>
      <c r="B17" s="49">
        <v>1619000</v>
      </c>
      <c r="C17" s="50" t="s">
        <v>53</v>
      </c>
      <c r="D17" s="50" t="s">
        <v>69</v>
      </c>
    </row>
    <row r="18" spans="1:4">
      <c r="A18" s="50">
        <v>17</v>
      </c>
      <c r="B18" s="49">
        <v>1620000</v>
      </c>
      <c r="C18" s="50" t="s">
        <v>53</v>
      </c>
      <c r="D18" s="50" t="s">
        <v>70</v>
      </c>
    </row>
    <row r="19" spans="1:4">
      <c r="A19" s="50">
        <v>18</v>
      </c>
      <c r="B19" s="49">
        <v>1622000</v>
      </c>
      <c r="C19" s="50" t="s">
        <v>53</v>
      </c>
      <c r="D19" s="50" t="s">
        <v>71</v>
      </c>
    </row>
    <row r="20" spans="1:4">
      <c r="A20" s="50">
        <v>19</v>
      </c>
      <c r="B20" s="49">
        <v>1624000</v>
      </c>
      <c r="C20" s="50" t="s">
        <v>53</v>
      </c>
      <c r="D20" s="50" t="s">
        <v>72</v>
      </c>
    </row>
    <row r="21" spans="1:4">
      <c r="A21" s="50">
        <v>20</v>
      </c>
      <c r="B21" s="49">
        <v>1628000</v>
      </c>
      <c r="C21" s="50" t="s">
        <v>53</v>
      </c>
      <c r="D21" s="50" t="s">
        <v>73</v>
      </c>
    </row>
    <row r="22" spans="1:4">
      <c r="A22" s="50">
        <v>21</v>
      </c>
      <c r="B22" s="49">
        <v>1800000</v>
      </c>
      <c r="C22" s="50" t="s">
        <v>53</v>
      </c>
      <c r="D22" s="50" t="s">
        <v>74</v>
      </c>
    </row>
    <row r="23" spans="1:4">
      <c r="A23" s="50">
        <v>22</v>
      </c>
      <c r="B23" s="49">
        <v>3600000</v>
      </c>
      <c r="C23" s="50" t="s">
        <v>53</v>
      </c>
      <c r="D23" s="50" t="s">
        <v>75</v>
      </c>
    </row>
    <row r="24" spans="1:4">
      <c r="A24" s="50">
        <v>23</v>
      </c>
      <c r="B24" s="49">
        <v>6600000</v>
      </c>
      <c r="C24" s="50" t="s">
        <v>53</v>
      </c>
      <c r="D24" s="50" t="s">
        <v>76</v>
      </c>
    </row>
    <row r="25" spans="1:4">
      <c r="A25" s="50">
        <v>24</v>
      </c>
      <c r="B25" s="49">
        <v>10000000</v>
      </c>
      <c r="C25" s="50" t="s">
        <v>53</v>
      </c>
      <c r="D25" s="50" t="s">
        <v>77</v>
      </c>
    </row>
    <row r="26" spans="1:4">
      <c r="A26" s="50">
        <v>25</v>
      </c>
      <c r="B26" s="49">
        <v>63000</v>
      </c>
      <c r="C26" s="50" t="s">
        <v>53</v>
      </c>
      <c r="D26" s="54" t="s">
        <v>171</v>
      </c>
    </row>
    <row r="27" spans="1:4">
      <c r="A27" s="50">
        <v>26</v>
      </c>
      <c r="B27" s="49">
        <v>73000</v>
      </c>
      <c r="C27" s="50" t="s">
        <v>53</v>
      </c>
      <c r="D27" s="54" t="s">
        <v>172</v>
      </c>
    </row>
    <row r="28" spans="1:4">
      <c r="A28" s="50">
        <v>27</v>
      </c>
      <c r="B28" s="49">
        <v>83000</v>
      </c>
      <c r="C28" s="50" t="s">
        <v>53</v>
      </c>
      <c r="D28" s="54" t="s">
        <v>173</v>
      </c>
    </row>
    <row r="29" spans="1:4">
      <c r="A29" s="50">
        <v>28</v>
      </c>
      <c r="B29" s="49">
        <v>93000</v>
      </c>
      <c r="C29" s="50" t="s">
        <v>53</v>
      </c>
      <c r="D29" s="54" t="s">
        <v>174</v>
      </c>
    </row>
    <row r="30" spans="1:4">
      <c r="A30" s="50">
        <v>29</v>
      </c>
      <c r="B30" s="49">
        <v>101000</v>
      </c>
      <c r="C30" s="50" t="s">
        <v>53</v>
      </c>
      <c r="D30" s="54" t="s">
        <v>175</v>
      </c>
    </row>
    <row r="31" spans="1:4">
      <c r="A31" s="50">
        <v>30</v>
      </c>
      <c r="B31" s="49">
        <v>107000</v>
      </c>
      <c r="C31" s="50" t="s">
        <v>53</v>
      </c>
      <c r="D31" s="54" t="s">
        <v>176</v>
      </c>
    </row>
    <row r="32" spans="1:4">
      <c r="A32" s="50">
        <v>31</v>
      </c>
      <c r="B32" s="49">
        <v>114000</v>
      </c>
      <c r="C32" s="50" t="s">
        <v>53</v>
      </c>
      <c r="D32" s="54" t="s">
        <v>177</v>
      </c>
    </row>
    <row r="33" spans="1:4">
      <c r="A33" s="50">
        <v>32</v>
      </c>
      <c r="B33" s="49">
        <v>122000</v>
      </c>
      <c r="C33" s="50" t="s">
        <v>53</v>
      </c>
      <c r="D33" s="54" t="s">
        <v>178</v>
      </c>
    </row>
    <row r="34" spans="1:4">
      <c r="A34" s="50">
        <v>33</v>
      </c>
      <c r="B34" s="49">
        <v>130000</v>
      </c>
      <c r="C34" s="50" t="s">
        <v>53</v>
      </c>
      <c r="D34" s="54" t="s">
        <v>179</v>
      </c>
    </row>
    <row r="35" spans="1:4">
      <c r="A35" s="50">
        <v>34</v>
      </c>
      <c r="B35" s="49">
        <v>138000</v>
      </c>
      <c r="C35" s="50" t="s">
        <v>53</v>
      </c>
      <c r="D35" s="54" t="s">
        <v>180</v>
      </c>
    </row>
    <row r="36" spans="1:4">
      <c r="A36" s="50">
        <v>35</v>
      </c>
      <c r="B36" s="49">
        <v>146000</v>
      </c>
      <c r="C36" s="50" t="s">
        <v>53</v>
      </c>
      <c r="D36" s="54" t="s">
        <v>181</v>
      </c>
    </row>
    <row r="37" spans="1:4">
      <c r="A37" s="50">
        <v>36</v>
      </c>
      <c r="B37" s="49">
        <v>155000</v>
      </c>
      <c r="C37" s="50" t="s">
        <v>53</v>
      </c>
      <c r="D37" s="54" t="s">
        <v>182</v>
      </c>
    </row>
    <row r="38" spans="1:4">
      <c r="A38" s="50">
        <v>37</v>
      </c>
      <c r="B38" s="49">
        <v>165000</v>
      </c>
      <c r="C38" s="50" t="s">
        <v>53</v>
      </c>
      <c r="D38" s="54" t="s">
        <v>183</v>
      </c>
    </row>
    <row r="39" spans="1:4">
      <c r="A39" s="50">
        <v>38</v>
      </c>
      <c r="B39" s="49">
        <v>175000</v>
      </c>
      <c r="C39" s="50" t="s">
        <v>53</v>
      </c>
      <c r="D39" s="54" t="s">
        <v>184</v>
      </c>
    </row>
    <row r="40" spans="1:4">
      <c r="A40" s="50">
        <v>39</v>
      </c>
      <c r="B40" s="49">
        <v>185000</v>
      </c>
      <c r="C40" s="50" t="s">
        <v>53</v>
      </c>
      <c r="D40" s="54" t="s">
        <v>185</v>
      </c>
    </row>
    <row r="41" spans="1:4">
      <c r="A41" s="50">
        <v>40</v>
      </c>
      <c r="B41" s="49">
        <v>195000</v>
      </c>
      <c r="C41" s="50" t="s">
        <v>53</v>
      </c>
      <c r="D41" s="54" t="s">
        <v>186</v>
      </c>
    </row>
    <row r="42" spans="1:4">
      <c r="A42" s="50">
        <v>41</v>
      </c>
      <c r="B42" s="49">
        <v>210000</v>
      </c>
      <c r="C42" s="50" t="s">
        <v>53</v>
      </c>
      <c r="D42" s="54" t="s">
        <v>187</v>
      </c>
    </row>
    <row r="43" spans="1:4">
      <c r="A43" s="50">
        <v>42</v>
      </c>
      <c r="B43" s="49">
        <v>230000</v>
      </c>
      <c r="C43" s="50" t="s">
        <v>53</v>
      </c>
      <c r="D43" s="54" t="s">
        <v>188</v>
      </c>
    </row>
    <row r="44" spans="1:4">
      <c r="A44" s="50">
        <v>43</v>
      </c>
      <c r="B44" s="49">
        <v>250000</v>
      </c>
      <c r="C44" s="50" t="s">
        <v>53</v>
      </c>
      <c r="D44" s="54" t="s">
        <v>189</v>
      </c>
    </row>
    <row r="45" spans="1:4">
      <c r="A45" s="50">
        <v>44</v>
      </c>
      <c r="B45" s="49">
        <v>270000</v>
      </c>
      <c r="C45" s="50" t="s">
        <v>53</v>
      </c>
      <c r="D45" s="54" t="s">
        <v>190</v>
      </c>
    </row>
    <row r="46" spans="1:4">
      <c r="A46" s="50">
        <v>45</v>
      </c>
      <c r="B46" s="49">
        <v>290000</v>
      </c>
      <c r="C46" s="50" t="s">
        <v>53</v>
      </c>
      <c r="D46" s="54" t="s">
        <v>191</v>
      </c>
    </row>
    <row r="47" spans="1:4">
      <c r="A47" s="50">
        <v>46</v>
      </c>
      <c r="B47" s="49">
        <v>310000</v>
      </c>
      <c r="C47" s="50" t="s">
        <v>53</v>
      </c>
      <c r="D47" s="54" t="s">
        <v>192</v>
      </c>
    </row>
    <row r="48" spans="1:4">
      <c r="A48" s="50">
        <v>47</v>
      </c>
      <c r="B48" s="49">
        <v>330000</v>
      </c>
      <c r="C48" s="50" t="s">
        <v>53</v>
      </c>
      <c r="D48" s="54" t="s">
        <v>193</v>
      </c>
    </row>
    <row r="49" spans="1:4">
      <c r="A49" s="50">
        <v>48</v>
      </c>
      <c r="B49" s="49">
        <v>350000</v>
      </c>
      <c r="C49" s="50" t="s">
        <v>53</v>
      </c>
      <c r="D49" s="54" t="s">
        <v>194</v>
      </c>
    </row>
    <row r="50" spans="1:4">
      <c r="A50" s="50">
        <v>49</v>
      </c>
      <c r="B50" s="49">
        <v>370000</v>
      </c>
      <c r="C50" s="50" t="s">
        <v>53</v>
      </c>
      <c r="D50" s="54" t="s">
        <v>195</v>
      </c>
    </row>
    <row r="51" spans="1:4">
      <c r="A51" s="50">
        <v>50</v>
      </c>
      <c r="B51" s="49">
        <v>395000</v>
      </c>
      <c r="C51" s="50" t="s">
        <v>53</v>
      </c>
      <c r="D51" s="54" t="s">
        <v>196</v>
      </c>
    </row>
    <row r="52" spans="1:4">
      <c r="A52" s="50">
        <v>51</v>
      </c>
      <c r="B52" s="49">
        <v>425000</v>
      </c>
      <c r="C52" s="50" t="s">
        <v>53</v>
      </c>
      <c r="D52" s="54" t="s">
        <v>197</v>
      </c>
    </row>
    <row r="53" spans="1:4">
      <c r="A53" s="50">
        <v>52</v>
      </c>
      <c r="B53" s="49">
        <v>455000</v>
      </c>
      <c r="C53" s="50" t="s">
        <v>53</v>
      </c>
      <c r="D53" s="54" t="s">
        <v>198</v>
      </c>
    </row>
    <row r="54" spans="1:4">
      <c r="A54" s="50">
        <v>53</v>
      </c>
      <c r="B54" s="49">
        <v>485000</v>
      </c>
      <c r="C54" s="50" t="s">
        <v>53</v>
      </c>
      <c r="D54" s="54" t="s">
        <v>199</v>
      </c>
    </row>
    <row r="55" spans="1:4">
      <c r="A55" s="50">
        <v>54</v>
      </c>
      <c r="B55" s="49">
        <v>515000</v>
      </c>
      <c r="C55" s="50" t="s">
        <v>53</v>
      </c>
      <c r="D55" s="54" t="s">
        <v>200</v>
      </c>
    </row>
    <row r="56" spans="1:4">
      <c r="A56" s="50">
        <v>55</v>
      </c>
      <c r="B56" s="49">
        <v>545000</v>
      </c>
      <c r="C56" s="50" t="s">
        <v>53</v>
      </c>
      <c r="D56" s="54" t="s">
        <v>201</v>
      </c>
    </row>
    <row r="57" spans="1:4">
      <c r="A57" s="50">
        <v>56</v>
      </c>
      <c r="B57" s="49">
        <v>575000</v>
      </c>
      <c r="C57" s="50" t="s">
        <v>53</v>
      </c>
      <c r="D57" s="54" t="s">
        <v>202</v>
      </c>
    </row>
    <row r="58" spans="1:4">
      <c r="A58" s="50">
        <v>57</v>
      </c>
      <c r="B58" s="49">
        <v>605000</v>
      </c>
      <c r="C58" s="50" t="s">
        <v>53</v>
      </c>
      <c r="D58" s="54" t="s">
        <v>203</v>
      </c>
    </row>
    <row r="59" spans="1:4">
      <c r="A59" s="50">
        <v>58</v>
      </c>
      <c r="B59" s="49">
        <v>635000</v>
      </c>
      <c r="C59" s="50" t="s">
        <v>53</v>
      </c>
      <c r="D59" s="54" t="s">
        <v>204</v>
      </c>
    </row>
    <row r="60" spans="1:4">
      <c r="A60" s="50">
        <v>59</v>
      </c>
      <c r="B60" s="49">
        <v>665000</v>
      </c>
      <c r="C60" s="50" t="s">
        <v>53</v>
      </c>
      <c r="D60" s="54" t="s">
        <v>205</v>
      </c>
    </row>
    <row r="61" spans="1:4">
      <c r="A61" s="50">
        <v>60</v>
      </c>
      <c r="B61" s="49">
        <v>695000</v>
      </c>
      <c r="C61" s="50" t="s">
        <v>53</v>
      </c>
      <c r="D61" s="54" t="s">
        <v>206</v>
      </c>
    </row>
    <row r="62" spans="1:4">
      <c r="A62" s="50">
        <v>61</v>
      </c>
      <c r="B62" s="49">
        <v>730000</v>
      </c>
      <c r="C62" s="50" t="s">
        <v>53</v>
      </c>
      <c r="D62" s="54" t="s">
        <v>207</v>
      </c>
    </row>
    <row r="63" spans="1:4">
      <c r="A63" s="50">
        <v>62</v>
      </c>
      <c r="B63" s="49">
        <v>770000</v>
      </c>
      <c r="C63" s="50" t="s">
        <v>53</v>
      </c>
      <c r="D63" s="54" t="s">
        <v>208</v>
      </c>
    </row>
    <row r="64" spans="1:4">
      <c r="A64" s="50">
        <v>63</v>
      </c>
      <c r="B64" s="49">
        <v>810000</v>
      </c>
      <c r="C64" s="50" t="s">
        <v>53</v>
      </c>
      <c r="D64" s="54" t="s">
        <v>209</v>
      </c>
    </row>
    <row r="65" spans="1:4">
      <c r="A65" s="50">
        <v>64</v>
      </c>
      <c r="B65" s="49">
        <v>855000</v>
      </c>
      <c r="C65" s="50" t="s">
        <v>53</v>
      </c>
      <c r="D65" s="54" t="s">
        <v>210</v>
      </c>
    </row>
    <row r="66" spans="1:4">
      <c r="A66" s="50">
        <v>65</v>
      </c>
      <c r="B66" s="49">
        <v>905000</v>
      </c>
      <c r="C66" s="50" t="s">
        <v>53</v>
      </c>
      <c r="D66" s="54" t="s">
        <v>211</v>
      </c>
    </row>
    <row r="67" spans="1:4">
      <c r="A67" s="50">
        <v>66</v>
      </c>
      <c r="B67" s="49">
        <v>955000</v>
      </c>
      <c r="C67" s="50" t="s">
        <v>53</v>
      </c>
      <c r="D67" s="54" t="s">
        <v>212</v>
      </c>
    </row>
    <row r="68" spans="1:4">
      <c r="A68" s="50">
        <v>67</v>
      </c>
      <c r="B68" s="49">
        <v>1005000</v>
      </c>
      <c r="C68" s="50" t="s">
        <v>53</v>
      </c>
      <c r="D68" s="54" t="s">
        <v>213</v>
      </c>
    </row>
    <row r="69" spans="1:4">
      <c r="A69" s="50">
        <v>68</v>
      </c>
      <c r="B69" s="49">
        <v>1055000</v>
      </c>
      <c r="C69" s="50" t="s">
        <v>53</v>
      </c>
      <c r="D69" s="54" t="s">
        <v>214</v>
      </c>
    </row>
    <row r="70" spans="1:4">
      <c r="A70" s="50">
        <v>69</v>
      </c>
      <c r="B70" s="49">
        <v>1115000</v>
      </c>
      <c r="C70" s="50" t="s">
        <v>53</v>
      </c>
      <c r="D70" s="54" t="s">
        <v>215</v>
      </c>
    </row>
    <row r="71" spans="1:4">
      <c r="A71" s="50">
        <v>70</v>
      </c>
      <c r="B71" s="49">
        <v>1175000</v>
      </c>
      <c r="C71" s="50" t="s">
        <v>53</v>
      </c>
      <c r="D71" s="54" t="s">
        <v>216</v>
      </c>
    </row>
    <row r="72" spans="1:4">
      <c r="A72" s="50">
        <v>71</v>
      </c>
      <c r="B72" s="49">
        <v>1235000</v>
      </c>
      <c r="C72" s="50" t="s">
        <v>53</v>
      </c>
      <c r="D72" s="54" t="s">
        <v>217</v>
      </c>
    </row>
    <row r="73" spans="1:4">
      <c r="A73" s="54">
        <v>72</v>
      </c>
      <c r="B73" s="374">
        <v>1295000</v>
      </c>
      <c r="C73" s="54" t="s">
        <v>53</v>
      </c>
      <c r="D73" s="54" t="s">
        <v>218</v>
      </c>
    </row>
    <row r="74" spans="1:4">
      <c r="A74" s="54">
        <v>73</v>
      </c>
      <c r="B74" s="374">
        <v>1355000</v>
      </c>
      <c r="C74" s="54" t="s">
        <v>53</v>
      </c>
      <c r="D74" s="54" t="s">
        <v>219</v>
      </c>
    </row>
    <row r="75" spans="1:4">
      <c r="A75" s="54">
        <v>74</v>
      </c>
      <c r="B75" s="54">
        <v>24000000</v>
      </c>
      <c r="C75" s="54" t="s">
        <v>53</v>
      </c>
      <c r="D75" s="54" t="s">
        <v>597</v>
      </c>
    </row>
    <row r="76" spans="1:4">
      <c r="A76" s="54">
        <v>75</v>
      </c>
      <c r="B76" s="54">
        <v>24500000</v>
      </c>
      <c r="C76" s="54" t="s">
        <v>53</v>
      </c>
      <c r="D76" s="54" t="s">
        <v>598</v>
      </c>
    </row>
    <row r="77" spans="1:4">
      <c r="A77" s="54">
        <v>76</v>
      </c>
      <c r="B77" s="54">
        <v>25000000</v>
      </c>
      <c r="C77" s="54" t="s">
        <v>53</v>
      </c>
      <c r="D77" s="54" t="s">
        <v>599</v>
      </c>
    </row>
    <row r="78" spans="1:4">
      <c r="A78" s="54">
        <v>77</v>
      </c>
      <c r="B78" s="377">
        <v>10000000</v>
      </c>
      <c r="C78" s="54" t="s">
        <v>53</v>
      </c>
      <c r="D78" s="54" t="s">
        <v>600</v>
      </c>
    </row>
    <row r="79" spans="1:4">
      <c r="A79" s="54">
        <v>78</v>
      </c>
      <c r="B79" s="377">
        <v>100000</v>
      </c>
      <c r="C79" s="54" t="s">
        <v>53</v>
      </c>
      <c r="D79" s="54" t="s">
        <v>601</v>
      </c>
    </row>
  </sheetData>
  <phoneticPr fontId="2"/>
  <pageMargins left="0.7" right="0.7" top="0.75" bottom="0.75" header="0.3" footer="0.3"/>
  <pageSetup paperSize="9"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vt:i4>
      </vt:variant>
    </vt:vector>
  </HeadingPairs>
  <TitlesOfParts>
    <vt:vector size="20" baseType="lpstr">
      <vt:lpstr>海外居住者のための収入等申告書</vt:lpstr>
      <vt:lpstr>記入例と注意事項</vt:lpstr>
      <vt:lpstr>【経済基準の適格認定】記入例と注意事項</vt:lpstr>
      <vt:lpstr>【採用の申込み】記入例と注意事項（旧）</vt:lpstr>
      <vt:lpstr>前年レート</vt:lpstr>
      <vt:lpstr>当年レート</vt:lpstr>
      <vt:lpstr>計算シート</vt:lpstr>
      <vt:lpstr>出力用</vt:lpstr>
      <vt:lpstr>T11所得区分</vt:lpstr>
      <vt:lpstr>T12給与所得</vt:lpstr>
      <vt:lpstr>T12給与所得改正後</vt:lpstr>
      <vt:lpstr>T13人的控除</vt:lpstr>
      <vt:lpstr>T15調整控除</vt:lpstr>
      <vt:lpstr>T16税率等</vt:lpstr>
      <vt:lpstr>修正履歴</vt:lpstr>
      <vt:lpstr>【経済基準の適格認定】記入例と注意事項!Print_Area</vt:lpstr>
      <vt:lpstr>'【採用の申込み】記入例と注意事項（旧）'!Print_Area</vt:lpstr>
      <vt:lpstr>海外居住者のための収入等申告書!Print_Area</vt:lpstr>
      <vt:lpstr>記入例と注意事項!Print_Area</vt:lpstr>
      <vt:lpstr>計算シート!Print_Area</vt:lpstr>
    </vt:vector>
  </TitlesOfParts>
  <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海外居住者のための収入基準額算定ツール</dc:title>
  <dc:creator>JASSO</dc:creator>
  <cp:lastPrinted>2025-03-24T07:40:18Z</cp:lastPrinted>
  <dcterms:created xsi:type="dcterms:W3CDTF">2006-09-16T00:00:00Z</dcterms:created>
  <dcterms:modified xsi:type="dcterms:W3CDTF">2025-09-01T10:45:28Z</dcterms:modified>
</cp:coreProperties>
</file>