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updateLinks="never" defaultThemeVersion="124226"/>
  <mc:AlternateContent xmlns:mc="http://schemas.openxmlformats.org/markup-compatibility/2006">
    <mc:Choice Requires="x15">
      <x15ac:absPath xmlns:x15ac="http://schemas.microsoft.com/office/spreadsheetml/2010/11/ac" url="\\FSHGDAP01.ichigaya4.jasso.go.jp\gakushitaiyoka\異動補導係\2026年度\16　適格認定（家計）\02_各種ツール\"/>
    </mc:Choice>
  </mc:AlternateContent>
  <xr:revisionPtr revIDLastSave="0" documentId="13_ncr:1_{05D1803A-3D02-4734-83B2-EB7DA882FC8A}" xr6:coauthVersionLast="47" xr6:coauthVersionMax="47" xr10:uidLastSave="{00000000-0000-0000-0000-000000000000}"/>
  <workbookProtection workbookAlgorithmName="SHA-512" workbookHashValue="22iieiNwg3WDs/Y3ooHRFI4epCqxZMSsFhe6YXjEJfIGAWILOtNsYe3TtKO70S9liKyRxEuJkKzKqZCbJLNx/w==" workbookSaltValue="MTJFC4BB985r9fWVqSdhiA==" workbookSpinCount="100000" lockStructure="1"/>
  <bookViews>
    <workbookView xWindow="-120" yWindow="-120" windowWidth="29040" windowHeight="15720" tabRatio="728" xr2:uid="{00000000-000D-0000-FFFF-FFFF00000000}"/>
  </bookViews>
  <sheets>
    <sheet name="海外居住者のための収入等申告書" sheetId="1" r:id="rId1"/>
    <sheet name="記入例と注意事項" sheetId="19" r:id="rId2"/>
    <sheet name="【経済基準の適格認定】記入例と注意事項" sheetId="11" state="hidden" r:id="rId3"/>
    <sheet name="【採用の申込み】記入例と注意事項（旧）" sheetId="13" state="hidden" r:id="rId4"/>
    <sheet name="前年レート" sheetId="2" state="hidden" r:id="rId5"/>
    <sheet name="当年レート" sheetId="12" state="hidden" r:id="rId6"/>
    <sheet name="計算シート" sheetId="3" state="hidden" r:id="rId7"/>
    <sheet name="計算シート2(特定親族)" sheetId="20" state="hidden" r:id="rId8"/>
    <sheet name="出力用" sheetId="17" state="hidden" r:id="rId9"/>
    <sheet name="T11所得区分" sheetId="5" state="hidden" r:id="rId10"/>
    <sheet name="T12給与所得" sheetId="6" state="hidden" r:id="rId11"/>
    <sheet name="T12給与所得改正後" sheetId="16" state="hidden" r:id="rId12"/>
    <sheet name="T13人的控除" sheetId="7" state="hidden" r:id="rId13"/>
    <sheet name="T15調整控除" sheetId="9" state="hidden" r:id="rId14"/>
    <sheet name="T16税率等" sheetId="10" state="hidden" r:id="rId15"/>
    <sheet name="修正履歴" sheetId="14" state="hidden" r:id="rId16"/>
  </sheets>
  <externalReferences>
    <externalReference r:id="rId17"/>
  </externalReferences>
  <definedNames>
    <definedName name="_xlnm._FilterDatabase" localSheetId="0" hidden="1">海外居住者のための収入等申告書!$L$42:$N$48</definedName>
    <definedName name="_xlnm.Print_Area" localSheetId="2">【経済基準の適格認定】記入例と注意事項!$A$1:$V$73</definedName>
    <definedName name="_xlnm.Print_Area" localSheetId="3">'【採用の申込み】記入例と注意事項（旧）'!$A$1:$AA$72</definedName>
    <definedName name="_xlnm.Print_Area" localSheetId="0">海外居住者のための収入等申告書!$A$1:$Q$133</definedName>
    <definedName name="_xlnm.Print_Area" localSheetId="1">記入例と注意事項!$A$1:$AB$134</definedName>
    <definedName name="_xlnm.Print_Area" localSheetId="6">計算シート!$A:$D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 l="1"/>
  <c r="C45" i="3" l="1"/>
  <c r="N56" i="19" l="1"/>
  <c r="M133" i="19"/>
  <c r="G133" i="19"/>
  <c r="M131" i="19"/>
  <c r="G131" i="19"/>
  <c r="M127" i="19"/>
  <c r="G127" i="19"/>
  <c r="M125" i="19"/>
  <c r="G125" i="19"/>
  <c r="M121" i="19"/>
  <c r="G121" i="19"/>
  <c r="M119" i="19"/>
  <c r="G119" i="19"/>
  <c r="M115" i="19"/>
  <c r="G115" i="19"/>
  <c r="M113" i="19"/>
  <c r="G113" i="19"/>
  <c r="M109" i="19"/>
  <c r="G109" i="19"/>
  <c r="M107" i="19"/>
  <c r="G107" i="19"/>
  <c r="M103" i="19"/>
  <c r="G103" i="19"/>
  <c r="M101" i="19"/>
  <c r="G101" i="19"/>
  <c r="M97" i="19"/>
  <c r="G97" i="19"/>
  <c r="M95" i="19"/>
  <c r="G95" i="19"/>
  <c r="M91" i="19"/>
  <c r="G91" i="19"/>
  <c r="M89" i="19"/>
  <c r="G89" i="19"/>
  <c r="G85" i="19"/>
  <c r="G83" i="19"/>
  <c r="N53" i="19"/>
  <c r="N52" i="19"/>
  <c r="B26" i="3" l="1"/>
  <c r="D23" i="3"/>
  <c r="C23" i="3"/>
  <c r="B23" i="3"/>
  <c r="C44" i="3"/>
  <c r="D13" i="12" l="1"/>
  <c r="D13" i="2"/>
  <c r="M133" i="1" l="1"/>
  <c r="M131" i="1"/>
  <c r="M127" i="1"/>
  <c r="M125" i="1"/>
  <c r="M121" i="1"/>
  <c r="M119" i="1"/>
  <c r="M115" i="1"/>
  <c r="M113" i="1"/>
  <c r="M109" i="1"/>
  <c r="M107" i="1"/>
  <c r="M103" i="1"/>
  <c r="M101" i="1"/>
  <c r="M97" i="1"/>
  <c r="M95" i="1"/>
  <c r="M91" i="1"/>
  <c r="M89" i="1"/>
  <c r="G133" i="1"/>
  <c r="G131" i="1"/>
  <c r="G127" i="1"/>
  <c r="G125" i="1"/>
  <c r="G121" i="1"/>
  <c r="G119" i="1"/>
  <c r="G115" i="1"/>
  <c r="G113" i="1"/>
  <c r="G109" i="1"/>
  <c r="G107" i="1"/>
  <c r="G103" i="1"/>
  <c r="G101" i="1"/>
  <c r="G97" i="1"/>
  <c r="G95" i="1"/>
  <c r="G91" i="1"/>
  <c r="G89" i="1"/>
  <c r="G83" i="1"/>
  <c r="G85" i="1"/>
  <c r="N56" i="1"/>
  <c r="B5" i="1"/>
  <c r="B5" i="19" s="1"/>
  <c r="N53" i="1"/>
  <c r="N52" i="1"/>
  <c r="C65" i="3"/>
  <c r="N27" i="1" l="1"/>
  <c r="M48" i="19" l="1"/>
  <c r="G48" i="19"/>
  <c r="M46" i="19"/>
  <c r="G46" i="19"/>
  <c r="M44" i="19"/>
  <c r="G44" i="19"/>
  <c r="B39" i="19"/>
  <c r="B38" i="19"/>
  <c r="F37" i="19"/>
  <c r="G31" i="19"/>
  <c r="N30" i="19"/>
  <c r="G29" i="19"/>
  <c r="N28" i="19"/>
  <c r="N27" i="19"/>
  <c r="F23" i="19"/>
  <c r="C13" i="19"/>
  <c r="C11" i="19"/>
  <c r="O2" i="19"/>
  <c r="D19" i="13"/>
  <c r="P72" i="13"/>
  <c r="B38" i="1" l="1"/>
  <c r="F37" i="1" l="1"/>
  <c r="O13" i="2" l="1"/>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G48" i="1"/>
  <c r="G46" i="1"/>
  <c r="G44" i="1"/>
  <c r="C9" i="3" l="1"/>
  <c r="C46" i="3" l="1"/>
  <c r="C13" i="1"/>
  <c r="C11" i="1"/>
  <c r="B39" i="1"/>
  <c r="C69" i="3" l="1"/>
  <c r="B70" i="1" s="1"/>
  <c r="B70" i="19" s="1"/>
  <c r="H53" i="19" l="1"/>
  <c r="H52" i="19"/>
  <c r="D38" i="3"/>
  <c r="D37" i="3"/>
  <c r="D36" i="3"/>
  <c r="B24" i="1"/>
  <c r="H52" i="1"/>
  <c r="H53" i="1"/>
  <c r="B1" i="3"/>
  <c r="L33" i="1"/>
  <c r="B36" i="19"/>
  <c r="K17" i="19"/>
  <c r="A34" i="19"/>
  <c r="B28" i="19"/>
  <c r="G17" i="19"/>
  <c r="B25" i="19"/>
  <c r="B30" i="19"/>
  <c r="B66" i="13"/>
  <c r="B64" i="19"/>
  <c r="L33" i="19"/>
  <c r="C17" i="19"/>
  <c r="B59" i="13"/>
  <c r="B31" i="19"/>
  <c r="M13" i="19"/>
  <c r="A42" i="19"/>
  <c r="B23" i="19"/>
  <c r="J29" i="19"/>
  <c r="A50" i="19"/>
  <c r="F33" i="19"/>
  <c r="B27" i="19"/>
  <c r="G15" i="19"/>
  <c r="B60" i="13"/>
  <c r="B26" i="19"/>
  <c r="G13" i="19"/>
  <c r="B40" i="19"/>
  <c r="N29" i="19"/>
  <c r="A22" i="19"/>
  <c r="B29" i="19"/>
  <c r="C15" i="19"/>
  <c r="B65" i="13"/>
  <c r="B37" i="19"/>
  <c r="B24" i="19"/>
  <c r="B65" i="19"/>
  <c r="K17" i="1"/>
  <c r="G17" i="1"/>
  <c r="C17" i="1"/>
  <c r="C15" i="1"/>
  <c r="B64" i="1"/>
  <c r="B65" i="1"/>
  <c r="B37" i="1"/>
  <c r="B23" i="1"/>
  <c r="J29" i="1"/>
  <c r="M13" i="1"/>
  <c r="G15" i="1"/>
  <c r="N29" i="1"/>
  <c r="A22" i="1"/>
  <c r="C1" i="3"/>
  <c r="B36" i="1"/>
  <c r="B28" i="1"/>
  <c r="B40" i="1"/>
  <c r="B27" i="1"/>
  <c r="B26" i="1"/>
  <c r="F33" i="1"/>
  <c r="B25" i="1"/>
  <c r="A34" i="1"/>
  <c r="G13" i="1"/>
  <c r="B31" i="1"/>
  <c r="A42" i="1"/>
  <c r="A50" i="1"/>
  <c r="B30" i="1"/>
  <c r="B29" i="1"/>
  <c r="I87" i="19" l="1"/>
  <c r="I123" i="19"/>
  <c r="I99" i="19"/>
  <c r="I81" i="19"/>
  <c r="I129" i="19"/>
  <c r="I105" i="19"/>
  <c r="I111" i="19"/>
  <c r="I117" i="19"/>
  <c r="I93" i="19"/>
  <c r="B117" i="19"/>
  <c r="B93" i="19"/>
  <c r="B81" i="19"/>
  <c r="B129" i="19"/>
  <c r="B111" i="19"/>
  <c r="B123" i="19"/>
  <c r="B99" i="19"/>
  <c r="B105" i="19"/>
  <c r="B87" i="19"/>
  <c r="B129" i="1"/>
  <c r="B81" i="1"/>
  <c r="B123" i="1"/>
  <c r="B117" i="1"/>
  <c r="B111" i="1"/>
  <c r="B105" i="1"/>
  <c r="B99" i="1"/>
  <c r="B93" i="1"/>
  <c r="B87" i="1"/>
  <c r="M33" i="1"/>
  <c r="N34" i="1" s="1"/>
  <c r="I123" i="1"/>
  <c r="I117" i="1"/>
  <c r="I111" i="1"/>
  <c r="I105" i="1"/>
  <c r="I99" i="1"/>
  <c r="I93" i="1"/>
  <c r="I87" i="1"/>
  <c r="I129" i="1"/>
  <c r="I81" i="1"/>
  <c r="N36" i="1"/>
  <c r="N35" i="1"/>
  <c r="N44" i="1"/>
  <c r="L42" i="19"/>
  <c r="L50" i="19"/>
  <c r="L34" i="19"/>
  <c r="L34" i="1"/>
  <c r="D1" i="3"/>
  <c r="V14" i="2"/>
  <c r="N46" i="1" l="1"/>
  <c r="N48" i="1"/>
  <c r="N45" i="1"/>
  <c r="N47" i="1"/>
  <c r="N43" i="1"/>
  <c r="N42" i="1"/>
  <c r="N38" i="1"/>
  <c r="N39" i="1"/>
  <c r="D65" i="3"/>
  <c r="A2" i="17"/>
  <c r="F2" i="17"/>
  <c r="M2" i="17"/>
  <c r="J2" i="17"/>
  <c r="N2" i="17"/>
  <c r="E2" i="17"/>
  <c r="DF2" i="17"/>
  <c r="O2" i="17"/>
  <c r="U2" i="17"/>
  <c r="DG2" i="17"/>
  <c r="K2" i="17"/>
  <c r="EJ2" i="17"/>
  <c r="EP2" i="17"/>
  <c r="EF2" i="17"/>
  <c r="I2" i="17"/>
  <c r="L2" i="17"/>
  <c r="ED2" i="17"/>
  <c r="EG2" i="17"/>
  <c r="W2" i="17"/>
  <c r="EE2" i="17"/>
  <c r="EH2" i="17"/>
  <c r="EI2" i="17"/>
  <c r="D19" i="11" l="1"/>
  <c r="C58" i="3"/>
  <c r="O2" i="1" l="1"/>
  <c r="BY2" i="17"/>
  <c r="C64" i="3" l="1"/>
  <c r="C51" i="3"/>
  <c r="B71" i="1" s="1"/>
  <c r="B71" i="19" s="1"/>
  <c r="C49" i="3"/>
  <c r="C48" i="3"/>
  <c r="CC2" i="17"/>
  <c r="D3" i="20" l="1"/>
  <c r="C15" i="20"/>
  <c r="F15" i="20"/>
  <c r="F3" i="20"/>
  <c r="C3" i="20"/>
  <c r="B15" i="20"/>
  <c r="G15" i="20"/>
  <c r="G3" i="20"/>
  <c r="H15" i="20"/>
  <c r="J15" i="20"/>
  <c r="I3" i="20"/>
  <c r="H3" i="20"/>
  <c r="I15" i="20"/>
  <c r="E15" i="20"/>
  <c r="E3" i="20"/>
  <c r="D15" i="20"/>
  <c r="J3" i="20"/>
  <c r="B3" i="20"/>
  <c r="O74" i="12"/>
  <c r="N74" i="12"/>
  <c r="O73" i="12"/>
  <c r="N73" i="12"/>
  <c r="O72" i="12"/>
  <c r="N72" i="12"/>
  <c r="O71" i="12"/>
  <c r="N71" i="12"/>
  <c r="O70" i="12"/>
  <c r="N70" i="12"/>
  <c r="O69" i="12"/>
  <c r="N69" i="12"/>
  <c r="O68" i="12"/>
  <c r="N68" i="12"/>
  <c r="O67" i="12"/>
  <c r="N67" i="12"/>
  <c r="O66" i="12"/>
  <c r="N66" i="12"/>
  <c r="O65" i="12"/>
  <c r="N65" i="12"/>
  <c r="O64" i="12"/>
  <c r="N64" i="12"/>
  <c r="O63" i="12"/>
  <c r="N63" i="12"/>
  <c r="O62" i="12"/>
  <c r="N62" i="12"/>
  <c r="O61" i="12"/>
  <c r="N61" i="12"/>
  <c r="O60" i="12"/>
  <c r="N60" i="12"/>
  <c r="O59" i="12"/>
  <c r="N59" i="12"/>
  <c r="O58" i="12"/>
  <c r="N58" i="12"/>
  <c r="O57" i="12"/>
  <c r="N57" i="12"/>
  <c r="O56" i="12"/>
  <c r="N56" i="12"/>
  <c r="O55" i="12"/>
  <c r="N55" i="12"/>
  <c r="O54" i="12"/>
  <c r="N54" i="12"/>
  <c r="O53" i="12"/>
  <c r="N53" i="12"/>
  <c r="O52" i="12"/>
  <c r="N52" i="12"/>
  <c r="O51" i="12"/>
  <c r="N51" i="12"/>
  <c r="O50" i="12"/>
  <c r="N50" i="12"/>
  <c r="O49" i="12"/>
  <c r="N49" i="12"/>
  <c r="O48" i="12"/>
  <c r="N48" i="12"/>
  <c r="O47" i="12"/>
  <c r="N47" i="12"/>
  <c r="O46" i="12"/>
  <c r="N46" i="12"/>
  <c r="O45" i="12"/>
  <c r="N45" i="12"/>
  <c r="O44" i="12"/>
  <c r="N44" i="12"/>
  <c r="O43" i="12"/>
  <c r="N43" i="12"/>
  <c r="O42" i="12"/>
  <c r="N42" i="12"/>
  <c r="O41" i="12"/>
  <c r="N41" i="12"/>
  <c r="O40" i="12"/>
  <c r="N40" i="12"/>
  <c r="O39" i="12"/>
  <c r="N39" i="12"/>
  <c r="O38" i="12"/>
  <c r="N38" i="12"/>
  <c r="O37" i="12"/>
  <c r="N37" i="12"/>
  <c r="O36" i="12"/>
  <c r="N36" i="12"/>
  <c r="O35" i="12"/>
  <c r="N35" i="12"/>
  <c r="O34" i="12"/>
  <c r="N34" i="12"/>
  <c r="O33" i="12"/>
  <c r="N33" i="12"/>
  <c r="O32" i="12"/>
  <c r="N32" i="12"/>
  <c r="O31" i="12"/>
  <c r="N31" i="12"/>
  <c r="O30" i="12"/>
  <c r="N30" i="12"/>
  <c r="O29" i="12"/>
  <c r="N29" i="12"/>
  <c r="O28" i="12"/>
  <c r="N28" i="12"/>
  <c r="O27" i="12"/>
  <c r="N27" i="12"/>
  <c r="O26" i="12"/>
  <c r="N26" i="12"/>
  <c r="O25" i="12"/>
  <c r="N25" i="12"/>
  <c r="O24" i="12"/>
  <c r="N24" i="12"/>
  <c r="O23" i="12"/>
  <c r="N23" i="12"/>
  <c r="O22" i="12"/>
  <c r="N22" i="12"/>
  <c r="O21" i="12"/>
  <c r="N21" i="12"/>
  <c r="O20" i="12"/>
  <c r="N20" i="12"/>
  <c r="O19" i="12"/>
  <c r="N19" i="12"/>
  <c r="O18" i="12"/>
  <c r="N18" i="12"/>
  <c r="O17" i="12"/>
  <c r="N17" i="12"/>
  <c r="O16" i="12"/>
  <c r="N16" i="12"/>
  <c r="O15" i="12"/>
  <c r="N15" i="12"/>
  <c r="V14" i="12"/>
  <c r="O14" i="12"/>
  <c r="N14" i="12"/>
  <c r="O13" i="12"/>
  <c r="N13" i="12"/>
  <c r="BZ2" i="17"/>
  <c r="F8" i="3" l="1"/>
  <c r="F10" i="3"/>
  <c r="B36" i="11"/>
  <c r="F9" i="3"/>
  <c r="C47" i="3"/>
  <c r="CB2" i="17"/>
  <c r="DH2" i="17"/>
  <c r="V2" i="17"/>
  <c r="CA2" i="17"/>
  <c r="C57" i="3" l="1"/>
  <c r="B2" i="3"/>
  <c r="B61" i="13"/>
  <c r="B67" i="19"/>
  <c r="B62" i="13"/>
  <c r="B20" i="19"/>
  <c r="B66" i="19"/>
  <c r="B19" i="19"/>
  <c r="B19" i="1"/>
  <c r="C2" i="3"/>
  <c r="C50" i="3"/>
  <c r="Q46" i="13"/>
  <c r="D2" i="3"/>
  <c r="D27" i="3" s="1"/>
  <c r="B20" i="1"/>
  <c r="L46" i="11"/>
  <c r="B67" i="1"/>
  <c r="B66" i="1"/>
  <c r="C56" i="3"/>
  <c r="AI2" i="17"/>
  <c r="CD2" i="17"/>
  <c r="CE2" i="17"/>
  <c r="CN2" i="17"/>
  <c r="B2" i="17"/>
  <c r="B27" i="3" l="1"/>
  <c r="B3" i="3"/>
  <c r="B4" i="3" s="1"/>
  <c r="B26" i="20"/>
  <c r="G18" i="20"/>
  <c r="G4" i="20"/>
  <c r="G5" i="20" s="1"/>
  <c r="B4" i="20"/>
  <c r="B5" i="20" s="1"/>
  <c r="D6" i="20"/>
  <c r="J16" i="20"/>
  <c r="J17" i="20" s="1"/>
  <c r="F4" i="20"/>
  <c r="F18" i="20"/>
  <c r="C6" i="20"/>
  <c r="H18" i="20"/>
  <c r="G16" i="20"/>
  <c r="G17" i="20" s="1"/>
  <c r="G19" i="20" s="1"/>
  <c r="E18" i="20"/>
  <c r="J4" i="20"/>
  <c r="J5" i="20" s="1"/>
  <c r="E16" i="20"/>
  <c r="E17" i="20" s="1"/>
  <c r="E19" i="20" s="1"/>
  <c r="J6" i="20"/>
  <c r="B6" i="20"/>
  <c r="D18" i="20"/>
  <c r="I16" i="20"/>
  <c r="I17" i="20" s="1"/>
  <c r="E4" i="20"/>
  <c r="E5" i="20" s="1"/>
  <c r="I6" i="20"/>
  <c r="C18" i="20"/>
  <c r="I4" i="20"/>
  <c r="I5" i="20" s="1"/>
  <c r="I7" i="20" s="1"/>
  <c r="D16" i="20"/>
  <c r="D17" i="20" s="1"/>
  <c r="H6" i="20"/>
  <c r="J18" i="20"/>
  <c r="B18" i="20"/>
  <c r="H16" i="20"/>
  <c r="H17" i="20" s="1"/>
  <c r="H19" i="20" s="1"/>
  <c r="D4" i="20"/>
  <c r="D5" i="20" s="1"/>
  <c r="G6" i="20"/>
  <c r="I18" i="20"/>
  <c r="F16" i="20"/>
  <c r="F17" i="20" s="1"/>
  <c r="H4" i="20"/>
  <c r="C16" i="20"/>
  <c r="C17" i="20" s="1"/>
  <c r="F6" i="20"/>
  <c r="B16" i="20"/>
  <c r="B17" i="20" s="1"/>
  <c r="B19" i="20" s="1"/>
  <c r="C4" i="20"/>
  <c r="C5" i="20" s="1"/>
  <c r="E6" i="20"/>
  <c r="D3" i="3"/>
  <c r="D52" i="3" s="1"/>
  <c r="B16" i="13"/>
  <c r="B15" i="13"/>
  <c r="B15" i="11"/>
  <c r="D7" i="3"/>
  <c r="C3" i="3"/>
  <c r="C59" i="3"/>
  <c r="C7" i="3"/>
  <c r="C5" i="3"/>
  <c r="C6" i="3" s="1"/>
  <c r="D5" i="3"/>
  <c r="D6" i="3" s="1"/>
  <c r="B7" i="3"/>
  <c r="B16" i="11"/>
  <c r="N30" i="1"/>
  <c r="G2" i="17"/>
  <c r="C2" i="17"/>
  <c r="CR2" i="17"/>
  <c r="AN2" i="17"/>
  <c r="AJ2" i="17"/>
  <c r="CS2" i="17"/>
  <c r="AL2" i="17"/>
  <c r="CK2" i="17"/>
  <c r="Z2" i="17"/>
  <c r="CQ2" i="17"/>
  <c r="CO2" i="17"/>
  <c r="G7" i="20" l="1"/>
  <c r="E7" i="20"/>
  <c r="C19" i="20"/>
  <c r="D7" i="20"/>
  <c r="I19" i="20"/>
  <c r="D19" i="20"/>
  <c r="J19" i="20"/>
  <c r="J20" i="20" s="1"/>
  <c r="J22" i="20" s="1"/>
  <c r="J7" i="20"/>
  <c r="F19" i="20"/>
  <c r="F20" i="20" s="1"/>
  <c r="F22" i="20" s="1"/>
  <c r="C7" i="20"/>
  <c r="B7" i="20"/>
  <c r="C52" i="3"/>
  <c r="D55" i="3"/>
  <c r="D53" i="3" s="1"/>
  <c r="C25" i="3"/>
  <c r="F5" i="20"/>
  <c r="H5" i="20"/>
  <c r="I8" i="20"/>
  <c r="I10" i="20" s="1"/>
  <c r="H20" i="20"/>
  <c r="H22" i="20" s="1"/>
  <c r="G20" i="20"/>
  <c r="G22" i="20" s="1"/>
  <c r="E20" i="20"/>
  <c r="E21" i="20" s="1"/>
  <c r="D8" i="20"/>
  <c r="D9" i="20" s="1"/>
  <c r="N28" i="1"/>
  <c r="AM2" i="17"/>
  <c r="D2" i="17"/>
  <c r="EO2" i="17"/>
  <c r="C55" i="3" l="1"/>
  <c r="C53" i="3" s="1"/>
  <c r="H7" i="20"/>
  <c r="H8" i="20" s="1"/>
  <c r="H9" i="20" s="1"/>
  <c r="F7" i="20"/>
  <c r="F8" i="20" s="1"/>
  <c r="F10" i="20" s="1"/>
  <c r="B20" i="20"/>
  <c r="B22" i="20" s="1"/>
  <c r="B8" i="3"/>
  <c r="I9" i="20"/>
  <c r="F21" i="20"/>
  <c r="J21" i="20"/>
  <c r="E22" i="20"/>
  <c r="G21" i="20"/>
  <c r="J8" i="20"/>
  <c r="J10" i="20" s="1"/>
  <c r="H21" i="20"/>
  <c r="G8" i="20"/>
  <c r="G10" i="20" s="1"/>
  <c r="C8" i="20"/>
  <c r="C10" i="20" s="1"/>
  <c r="D20" i="20"/>
  <c r="D21" i="20" s="1"/>
  <c r="D10" i="20"/>
  <c r="E8" i="20"/>
  <c r="E10" i="20" s="1"/>
  <c r="B8" i="20"/>
  <c r="B10" i="20" s="1"/>
  <c r="I20" i="20"/>
  <c r="I21" i="20" s="1"/>
  <c r="C20" i="20"/>
  <c r="C22" i="20" s="1"/>
  <c r="L50" i="1"/>
  <c r="D43" i="3"/>
  <c r="CJ2" i="17"/>
  <c r="AP2" i="17"/>
  <c r="EC2" i="17"/>
  <c r="C37" i="3" l="1"/>
  <c r="C36" i="3"/>
  <c r="B27" i="20"/>
  <c r="B20" i="3"/>
  <c r="C38" i="3"/>
  <c r="F9" i="20"/>
  <c r="H10" i="20"/>
  <c r="L10" i="20" s="1"/>
  <c r="B21" i="20"/>
  <c r="I22" i="20"/>
  <c r="C21" i="20"/>
  <c r="G9" i="20"/>
  <c r="J9" i="20"/>
  <c r="C9" i="20"/>
  <c r="L8" i="20"/>
  <c r="L20" i="20"/>
  <c r="D13" i="3" s="1"/>
  <c r="B9" i="20"/>
  <c r="E9" i="20"/>
  <c r="D22" i="20"/>
  <c r="D77" i="1"/>
  <c r="D9" i="3"/>
  <c r="D42" i="3"/>
  <c r="L42" i="1"/>
  <c r="B18" i="3"/>
  <c r="B17" i="3"/>
  <c r="D39" i="3" s="1"/>
  <c r="G31" i="1"/>
  <c r="G29" i="1"/>
  <c r="P2" i="17"/>
  <c r="CU2" i="17"/>
  <c r="Q2" i="17"/>
  <c r="EB2" i="17"/>
  <c r="R2" i="17"/>
  <c r="B32" i="20" l="1"/>
  <c r="B33" i="20" s="1"/>
  <c r="B29" i="20"/>
  <c r="B31" i="20" s="1"/>
  <c r="L22" i="20"/>
  <c r="D16" i="3" s="1"/>
  <c r="L21" i="20"/>
  <c r="L9" i="20"/>
  <c r="C16" i="3"/>
  <c r="D41" i="3"/>
  <c r="B25" i="3"/>
  <c r="C60" i="3"/>
  <c r="C43" i="3"/>
  <c r="M46" i="1"/>
  <c r="M48" i="1"/>
  <c r="D15" i="3"/>
  <c r="D14" i="3"/>
  <c r="C15" i="3"/>
  <c r="C14" i="3"/>
  <c r="CZ2" i="17"/>
  <c r="AV2" i="17"/>
  <c r="AU2" i="17"/>
  <c r="BX2" i="17"/>
  <c r="Y2" i="17"/>
  <c r="H2" i="17"/>
  <c r="DA2" i="17"/>
  <c r="X2" i="17"/>
  <c r="EA2" i="17"/>
  <c r="B30" i="20" l="1"/>
  <c r="C67" i="3" s="1"/>
  <c r="C66" i="3" s="1"/>
  <c r="D40" i="3"/>
  <c r="C77" i="1"/>
  <c r="C13" i="3"/>
  <c r="D25" i="3"/>
  <c r="M44" i="1"/>
  <c r="BR2" i="17"/>
  <c r="BQ2" i="17"/>
  <c r="T2" i="17"/>
  <c r="DV2" i="17"/>
  <c r="CY2" i="17"/>
  <c r="DW2" i="17"/>
  <c r="S2" i="17"/>
  <c r="C41" i="3" l="1"/>
  <c r="C40" i="3" s="1"/>
  <c r="C39" i="3"/>
  <c r="B32" i="3"/>
  <c r="B28" i="3"/>
  <c r="D12" i="3"/>
  <c r="C12" i="3"/>
  <c r="AS2" i="17"/>
  <c r="DX2" i="17"/>
  <c r="AT2" i="17"/>
  <c r="BS2" i="17"/>
  <c r="AE2" i="17"/>
  <c r="BU2" i="17"/>
  <c r="DZ2" i="17"/>
  <c r="AA2" i="17"/>
  <c r="CX2" i="17"/>
  <c r="C54" i="3" l="1"/>
  <c r="C4" i="3" s="1"/>
  <c r="C8" i="3" s="1"/>
  <c r="D54" i="3"/>
  <c r="D4" i="3" s="1"/>
  <c r="D8" i="3" s="1"/>
  <c r="EV2" i="17"/>
  <c r="H75" i="1"/>
  <c r="B29" i="3"/>
  <c r="B30" i="3" s="1"/>
  <c r="C42" i="3"/>
  <c r="BT2" i="17"/>
  <c r="AD2" i="17"/>
  <c r="AC2" i="17"/>
  <c r="AB2" i="17"/>
  <c r="DY2" i="17"/>
  <c r="BW2" i="17"/>
  <c r="BV2" i="17"/>
  <c r="C10" i="3" l="1"/>
  <c r="D10" i="3"/>
  <c r="D11" i="3" s="1"/>
  <c r="H74" i="1"/>
  <c r="EU2" i="17"/>
  <c r="B33" i="3"/>
  <c r="AF2" i="17"/>
  <c r="B34" i="3" l="1"/>
  <c r="B35" i="3" s="1"/>
  <c r="AG2" i="17"/>
  <c r="AH2" i="17"/>
  <c r="C74" i="1" l="1"/>
  <c r="EQ2" i="17"/>
  <c r="ER2" i="17"/>
  <c r="CI2" i="17"/>
  <c r="AK2" i="17"/>
  <c r="CG2" i="17"/>
  <c r="CL2" i="17"/>
  <c r="EL2" i="17"/>
  <c r="EM2" i="17"/>
  <c r="CP2" i="17"/>
  <c r="EK2" i="17"/>
  <c r="EN2" i="17"/>
  <c r="AO2" i="17"/>
  <c r="CT2" i="17"/>
  <c r="BB2" i="17"/>
  <c r="CM2" i="17"/>
  <c r="CF2" i="17"/>
  <c r="CH2" i="17"/>
  <c r="C24" i="3" l="1"/>
  <c r="C26" i="3" s="1"/>
  <c r="D24" i="3"/>
  <c r="C22" i="3"/>
  <c r="C20" i="3" s="1"/>
  <c r="BC2" i="17"/>
  <c r="AQ2" i="17"/>
  <c r="DJ2" i="17"/>
  <c r="BA2" i="17"/>
  <c r="CV2" i="17"/>
  <c r="C27" i="3" l="1"/>
  <c r="C68" i="3"/>
  <c r="EW2" i="17" s="1"/>
  <c r="D26" i="3"/>
  <c r="C18" i="3"/>
  <c r="C19" i="3"/>
  <c r="D31" i="3"/>
  <c r="C17" i="3"/>
  <c r="D19" i="3"/>
  <c r="C31" i="3"/>
  <c r="D18" i="3"/>
  <c r="C11" i="3"/>
  <c r="D17" i="3"/>
  <c r="DL2" i="17"/>
  <c r="AZ2" i="17"/>
  <c r="AX2" i="17"/>
  <c r="BD2" i="17"/>
  <c r="DE2" i="17"/>
  <c r="DD2" i="17"/>
  <c r="DI2" i="17"/>
  <c r="AW2" i="17"/>
  <c r="BE2" i="17"/>
  <c r="DB2" i="17"/>
  <c r="DC2" i="17"/>
  <c r="AR2" i="17"/>
  <c r="AY2" i="17"/>
  <c r="CW2" i="17"/>
  <c r="K74" i="1" l="1"/>
  <c r="C28" i="3"/>
  <c r="D32" i="3"/>
  <c r="C32" i="3"/>
  <c r="D28" i="3"/>
  <c r="DQ2" i="17"/>
  <c r="BG2" i="17"/>
  <c r="BL2" i="17"/>
  <c r="DM2" i="17"/>
  <c r="BH2" i="17"/>
  <c r="BF2" i="17"/>
  <c r="DK2" i="17"/>
  <c r="D29" i="3" l="1"/>
  <c r="C29" i="3"/>
  <c r="C30" i="3" s="1"/>
  <c r="DN2" i="17"/>
  <c r="BI2" i="17"/>
  <c r="C33" i="3" l="1"/>
  <c r="D33" i="3"/>
  <c r="D30" i="3"/>
  <c r="BJ2" i="17"/>
  <c r="BK2" i="17"/>
  <c r="DR2" i="17"/>
  <c r="BM2" i="17"/>
  <c r="DP2" i="17"/>
  <c r="DO2" i="17"/>
  <c r="C34" i="3" l="1"/>
  <c r="C35" i="3" s="1"/>
  <c r="D34" i="3"/>
  <c r="D35" i="3" s="1"/>
  <c r="BP2" i="17"/>
  <c r="BN2" i="17"/>
  <c r="DU2" i="17"/>
  <c r="DT2" i="17"/>
  <c r="BO2" i="17"/>
  <c r="DS2" i="17"/>
  <c r="B28" i="20" l="1"/>
  <c r="D60" i="3"/>
  <c r="D61" i="3" l="1"/>
  <c r="D63" i="3" s="1"/>
  <c r="C61" i="3"/>
  <c r="C62" i="3" s="1"/>
  <c r="D62" i="3" l="1"/>
  <c r="D75" i="1" s="1"/>
  <c r="C63" i="3"/>
  <c r="C75" i="1"/>
  <c r="D76" i="1"/>
  <c r="ET2" i="17"/>
  <c r="ES2" i="17" l="1"/>
  <c r="C76" i="1"/>
</calcChain>
</file>

<file path=xl/sharedStrings.xml><?xml version="1.0" encoding="utf-8"?>
<sst xmlns="http://schemas.openxmlformats.org/spreadsheetml/2006/main" count="2432" uniqueCount="1098">
  <si>
    <t>16歳未満扶養親族の数</t>
    <rPh sb="2" eb="5">
      <t>サイミマン</t>
    </rPh>
    <rPh sb="5" eb="7">
      <t>フヨウ</t>
    </rPh>
    <rPh sb="7" eb="9">
      <t>シンゾク</t>
    </rPh>
    <rPh sb="10" eb="11">
      <t>カズ</t>
    </rPh>
    <phoneticPr fontId="2"/>
  </si>
  <si>
    <t>16～18歳の扶養親族の数</t>
    <rPh sb="5" eb="6">
      <t>サイ</t>
    </rPh>
    <rPh sb="7" eb="9">
      <t>フヨウ</t>
    </rPh>
    <rPh sb="9" eb="11">
      <t>シンゾク</t>
    </rPh>
    <rPh sb="12" eb="13">
      <t>カズ</t>
    </rPh>
    <phoneticPr fontId="1"/>
  </si>
  <si>
    <t>19～22歳の扶養親族の数</t>
    <rPh sb="5" eb="6">
      <t>サイ</t>
    </rPh>
    <rPh sb="7" eb="9">
      <t>フヨウ</t>
    </rPh>
    <rPh sb="9" eb="11">
      <t>シンゾク</t>
    </rPh>
    <rPh sb="12" eb="13">
      <t>カズ</t>
    </rPh>
    <phoneticPr fontId="1"/>
  </si>
  <si>
    <t>23～69歳の扶養親族の数</t>
    <rPh sb="5" eb="6">
      <t>サイ</t>
    </rPh>
    <rPh sb="7" eb="9">
      <t>フヨウ</t>
    </rPh>
    <rPh sb="9" eb="11">
      <t>シンゾク</t>
    </rPh>
    <rPh sb="12" eb="13">
      <t>カズ</t>
    </rPh>
    <phoneticPr fontId="1"/>
  </si>
  <si>
    <t>70歳以上扶養親族（同居尊属）の数</t>
    <rPh sb="2" eb="5">
      <t>サイイジョウ</t>
    </rPh>
    <rPh sb="5" eb="7">
      <t>フヨウ</t>
    </rPh>
    <rPh sb="7" eb="9">
      <t>シンゾク</t>
    </rPh>
    <rPh sb="10" eb="12">
      <t>ドウキョ</t>
    </rPh>
    <rPh sb="12" eb="14">
      <t>ソンゾク</t>
    </rPh>
    <rPh sb="16" eb="17">
      <t>カズ</t>
    </rPh>
    <phoneticPr fontId="1"/>
  </si>
  <si>
    <t>70歳以上で上記以外の扶養親族の数</t>
    <rPh sb="2" eb="5">
      <t>サイイジョウ</t>
    </rPh>
    <rPh sb="6" eb="8">
      <t>ジョウキ</t>
    </rPh>
    <rPh sb="8" eb="10">
      <t>イガイ</t>
    </rPh>
    <rPh sb="11" eb="13">
      <t>フヨウ</t>
    </rPh>
    <rPh sb="13" eb="15">
      <t>シンゾク</t>
    </rPh>
    <rPh sb="16" eb="17">
      <t>カズ</t>
    </rPh>
    <phoneticPr fontId="1"/>
  </si>
  <si>
    <t>につき</t>
  </si>
  <si>
    <t>米ドル</t>
  </si>
  <si>
    <t xml:space="preserve">  〃</t>
  </si>
  <si>
    <t xml:space="preserve">  「外国為替の取引等の報告に関する省令」第35条第2号に基づき財務大臣</t>
    <rPh sb="32" eb="34">
      <t>ザイム</t>
    </rPh>
    <phoneticPr fontId="4"/>
  </si>
  <si>
    <t xml:space="preserve">  の換算）について</t>
  </si>
  <si>
    <t>財務大臣公示</t>
    <rPh sb="0" eb="2">
      <t>ザイム</t>
    </rPh>
    <phoneticPr fontId="4"/>
  </si>
  <si>
    <t>当該外国通貨のアメリカ合衆国通貨に対する市場実勢</t>
  </si>
  <si>
    <t>　</t>
    <phoneticPr fontId="4"/>
  </si>
  <si>
    <t>通貨一覧</t>
    <rPh sb="0" eb="2">
      <t>ツウカ</t>
    </rPh>
    <rPh sb="2" eb="4">
      <t>イチラン</t>
    </rPh>
    <phoneticPr fontId="2"/>
  </si>
  <si>
    <t>対円レート</t>
    <rPh sb="0" eb="2">
      <t>タイエン</t>
    </rPh>
    <phoneticPr fontId="2"/>
  </si>
  <si>
    <t>給与所得金額</t>
    <rPh sb="0" eb="2">
      <t>キュウヨ</t>
    </rPh>
    <rPh sb="2" eb="4">
      <t>ショトク</t>
    </rPh>
    <rPh sb="4" eb="6">
      <t>キンガク</t>
    </rPh>
    <phoneticPr fontId="2"/>
  </si>
  <si>
    <t>合計所得金額</t>
    <rPh sb="0" eb="2">
      <t>ゴウケイ</t>
    </rPh>
    <rPh sb="2" eb="4">
      <t>ショトク</t>
    </rPh>
    <rPh sb="4" eb="6">
      <t>キンガク</t>
    </rPh>
    <phoneticPr fontId="2"/>
  </si>
  <si>
    <t>扶養控除（一般）</t>
    <rPh sb="0" eb="2">
      <t>フヨウ</t>
    </rPh>
    <rPh sb="2" eb="4">
      <t>コウジョ</t>
    </rPh>
    <rPh sb="5" eb="7">
      <t>イッパン</t>
    </rPh>
    <phoneticPr fontId="2"/>
  </si>
  <si>
    <t>扶養控除（特定）</t>
    <rPh sb="0" eb="2">
      <t>フヨウ</t>
    </rPh>
    <rPh sb="2" eb="4">
      <t>コウジョ</t>
    </rPh>
    <rPh sb="5" eb="7">
      <t>トクテイ</t>
    </rPh>
    <phoneticPr fontId="2"/>
  </si>
  <si>
    <t>扶養控除（老人）</t>
    <rPh sb="0" eb="2">
      <t>フヨウ</t>
    </rPh>
    <rPh sb="2" eb="4">
      <t>コウジョ</t>
    </rPh>
    <rPh sb="5" eb="7">
      <t>ロウジン</t>
    </rPh>
    <phoneticPr fontId="2"/>
  </si>
  <si>
    <t>扶養控除（同老）</t>
    <rPh sb="0" eb="2">
      <t>フヨウ</t>
    </rPh>
    <rPh sb="2" eb="4">
      <t>コウジョ</t>
    </rPh>
    <rPh sb="5" eb="6">
      <t>オナ</t>
    </rPh>
    <rPh sb="6" eb="7">
      <t>ロウ</t>
    </rPh>
    <phoneticPr fontId="2"/>
  </si>
  <si>
    <t>障害者控除（一般）</t>
    <rPh sb="0" eb="3">
      <t>ショウガイシャ</t>
    </rPh>
    <rPh sb="3" eb="5">
      <t>コウジョ</t>
    </rPh>
    <rPh sb="6" eb="8">
      <t>イッパン</t>
    </rPh>
    <phoneticPr fontId="2"/>
  </si>
  <si>
    <t>障害者控除（特定）</t>
    <rPh sb="0" eb="3">
      <t>ショウガイシャ</t>
    </rPh>
    <rPh sb="3" eb="5">
      <t>コウジョ</t>
    </rPh>
    <rPh sb="6" eb="8">
      <t>トクテイ</t>
    </rPh>
    <phoneticPr fontId="2"/>
  </si>
  <si>
    <t>障害者控除（同特）</t>
    <rPh sb="0" eb="3">
      <t>ショウガイシャ</t>
    </rPh>
    <rPh sb="3" eb="5">
      <t>コウジョ</t>
    </rPh>
    <rPh sb="6" eb="7">
      <t>ドウ</t>
    </rPh>
    <rPh sb="7" eb="8">
      <t>トク</t>
    </rPh>
    <phoneticPr fontId="2"/>
  </si>
  <si>
    <t>寡婦控除</t>
    <rPh sb="0" eb="2">
      <t>カフ</t>
    </rPh>
    <rPh sb="2" eb="4">
      <t>コウジョ</t>
    </rPh>
    <phoneticPr fontId="2"/>
  </si>
  <si>
    <t>寡婦特別控除</t>
    <rPh sb="0" eb="2">
      <t>カフ</t>
    </rPh>
    <rPh sb="2" eb="4">
      <t>トクベツ</t>
    </rPh>
    <rPh sb="4" eb="6">
      <t>コウジョ</t>
    </rPh>
    <phoneticPr fontId="2"/>
  </si>
  <si>
    <t>寡夫控除</t>
    <rPh sb="0" eb="2">
      <t>カフ</t>
    </rPh>
    <rPh sb="2" eb="4">
      <t>コウジョ</t>
    </rPh>
    <phoneticPr fontId="2"/>
  </si>
  <si>
    <t>扶養親族等の数</t>
    <rPh sb="0" eb="2">
      <t>フヨウ</t>
    </rPh>
    <rPh sb="2" eb="4">
      <t>シンゾク</t>
    </rPh>
    <rPh sb="4" eb="5">
      <t>トウ</t>
    </rPh>
    <rPh sb="6" eb="7">
      <t>カズ</t>
    </rPh>
    <phoneticPr fontId="2"/>
  </si>
  <si>
    <t>社会保険料等控除</t>
    <rPh sb="0" eb="2">
      <t>シャカイ</t>
    </rPh>
    <rPh sb="2" eb="5">
      <t>ホケンリョウ</t>
    </rPh>
    <rPh sb="5" eb="6">
      <t>トウ</t>
    </rPh>
    <rPh sb="6" eb="8">
      <t>コウジョ</t>
    </rPh>
    <phoneticPr fontId="2"/>
  </si>
  <si>
    <t>課税標準額</t>
    <rPh sb="0" eb="2">
      <t>カゼイ</t>
    </rPh>
    <rPh sb="2" eb="4">
      <t>ヒョウジュン</t>
    </rPh>
    <rPh sb="4" eb="5">
      <t>ガク</t>
    </rPh>
    <phoneticPr fontId="2"/>
  </si>
  <si>
    <t>基礎控除</t>
    <rPh sb="0" eb="2">
      <t>キソ</t>
    </rPh>
    <rPh sb="2" eb="4">
      <t>コウジョ</t>
    </rPh>
    <phoneticPr fontId="2"/>
  </si>
  <si>
    <t>非課税限度</t>
    <rPh sb="0" eb="3">
      <t>ヒカゼイ</t>
    </rPh>
    <rPh sb="3" eb="5">
      <t>ゲンド</t>
    </rPh>
    <phoneticPr fontId="2"/>
  </si>
  <si>
    <t>非課税となる基準</t>
    <rPh sb="0" eb="3">
      <t>ヒカゼイ</t>
    </rPh>
    <rPh sb="6" eb="8">
      <t>キジュン</t>
    </rPh>
    <phoneticPr fontId="2"/>
  </si>
  <si>
    <t>算出税額</t>
    <rPh sb="0" eb="2">
      <t>サンシュツ</t>
    </rPh>
    <rPh sb="2" eb="4">
      <t>ゼイガク</t>
    </rPh>
    <phoneticPr fontId="2"/>
  </si>
  <si>
    <t>人的控除の差額</t>
    <rPh sb="0" eb="2">
      <t>ジンテキ</t>
    </rPh>
    <rPh sb="2" eb="4">
      <t>コウジョ</t>
    </rPh>
    <rPh sb="5" eb="7">
      <t>サガク</t>
    </rPh>
    <phoneticPr fontId="2"/>
  </si>
  <si>
    <t>調整控除</t>
    <rPh sb="0" eb="2">
      <t>チョウセイ</t>
    </rPh>
    <rPh sb="2" eb="4">
      <t>コウジョ</t>
    </rPh>
    <phoneticPr fontId="2"/>
  </si>
  <si>
    <t>調整額</t>
    <rPh sb="0" eb="2">
      <t>チョウセイ</t>
    </rPh>
    <rPh sb="2" eb="3">
      <t>ガク</t>
    </rPh>
    <phoneticPr fontId="2"/>
  </si>
  <si>
    <t>生計維持者１</t>
    <rPh sb="0" eb="2">
      <t>セイケイ</t>
    </rPh>
    <rPh sb="2" eb="4">
      <t>イジ</t>
    </rPh>
    <rPh sb="4" eb="5">
      <t>シャ</t>
    </rPh>
    <phoneticPr fontId="2"/>
  </si>
  <si>
    <t>選択肢</t>
    <rPh sb="0" eb="3">
      <t>センタクシ</t>
    </rPh>
    <phoneticPr fontId="2"/>
  </si>
  <si>
    <t>はい</t>
  </si>
  <si>
    <t>はい</t>
    <phoneticPr fontId="2"/>
  </si>
  <si>
    <t>いいえ</t>
  </si>
  <si>
    <t>いいえ</t>
    <phoneticPr fontId="2"/>
  </si>
  <si>
    <t>障がい者でない</t>
    <rPh sb="0" eb="1">
      <t>ショウ</t>
    </rPh>
    <rPh sb="3" eb="4">
      <t>シャ</t>
    </rPh>
    <phoneticPr fontId="2"/>
  </si>
  <si>
    <t>障がい者である</t>
    <rPh sb="0" eb="1">
      <t>ショウ</t>
    </rPh>
    <rPh sb="3" eb="4">
      <t>シャ</t>
    </rPh>
    <phoneticPr fontId="2"/>
  </si>
  <si>
    <t>寡婦（夫）でない</t>
    <rPh sb="0" eb="2">
      <t>カフ</t>
    </rPh>
    <rPh sb="3" eb="4">
      <t>オット</t>
    </rPh>
    <phoneticPr fontId="2"/>
  </si>
  <si>
    <t>項番</t>
    <rPh sb="0" eb="2">
      <t>コウバン</t>
    </rPh>
    <phoneticPr fontId="2"/>
  </si>
  <si>
    <t>人</t>
    <rPh sb="0" eb="1">
      <t>ニン</t>
    </rPh>
    <phoneticPr fontId="2"/>
  </si>
  <si>
    <t>日本円 (JPY)</t>
    <rPh sb="0" eb="3">
      <t>ニホンエン</t>
    </rPh>
    <phoneticPr fontId="2"/>
  </si>
  <si>
    <t>値</t>
    <rPh sb="0" eb="1">
      <t>アタイ</t>
    </rPh>
    <phoneticPr fontId="2"/>
  </si>
  <si>
    <t>入力形式</t>
    <rPh sb="0" eb="2">
      <t>ニュウリョク</t>
    </rPh>
    <rPh sb="2" eb="4">
      <t>ケイシキ</t>
    </rPh>
    <phoneticPr fontId="2"/>
  </si>
  <si>
    <t>説明</t>
    <rPh sb="0" eb="2">
      <t>セツメイ</t>
    </rPh>
    <phoneticPr fontId="2"/>
  </si>
  <si>
    <t>数値</t>
    <rPh sb="0" eb="2">
      <t>スウチ</t>
    </rPh>
    <phoneticPr fontId="2"/>
  </si>
  <si>
    <t>配偶者控除のための家計支持者１の所得区分A</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</si>
  <si>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配偶者控除のための家計支持者１の所得区分B</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</si>
  <si>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配偶者控除のための家計支持者１の所得区分C</t>
    <rPh sb="0" eb="3">
      <t>ハイグウシャ</t>
    </rPh>
    <rPh sb="3" eb="5">
      <t>コウジョ</t>
    </rPh>
    <rPh sb="9" eb="11">
      <t>カケイ</t>
    </rPh>
    <rPh sb="11" eb="14">
      <t>シジシャ</t>
    </rPh>
    <rPh sb="16" eb="18">
      <t>ショトク</t>
    </rPh>
    <rPh sb="18" eb="20">
      <t>クブン</t>
    </rPh>
    <phoneticPr fontId="2"/>
  </si>
  <si>
    <t>配偶者控除のための家計支持者２の所得区分a</t>
    <rPh sb="0" eb="3">
      <t>ハイグウシャ</t>
    </rPh>
    <rPh sb="3" eb="5">
      <t>コウジョ</t>
    </rPh>
    <rPh sb="9" eb="11">
      <t>カケイ</t>
    </rPh>
    <rPh sb="11" eb="14">
      <t>シジシャ</t>
    </rPh>
    <rPh sb="16" eb="18">
      <t>ショトク</t>
    </rPh>
    <rPh sb="18" eb="20">
      <t>クブン</t>
    </rPh>
    <phoneticPr fontId="2"/>
  </si>
  <si>
    <t>配偶者特別控除のための家計支持者２の所得区分b</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</si>
  <si>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配偶者特別控除のための家計支持者２の所得区分c</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</si>
  <si>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配偶者特別控除のための家計支持者２の所得区分d</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</si>
  <si>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配偶者特別控除のための家計支持者２の所得区分e</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</si>
  <si>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配偶者特別控除のための家計支持者２の所得区分f</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</si>
  <si>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配偶者特別控除のための家計支持者２の所得区分g</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</si>
  <si>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配偶者特別控除のための家計支持者２の所得区分h</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</si>
  <si>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配偶者特別控除のための家計支持者２の所得区分i</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</si>
  <si>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配偶者特別控除のための家計支持者２の所得区分j</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</si>
  <si>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配偶者特別控除のための家計支持者２の所得区分k</t>
    <rPh sb="0" eb="3">
      <t>ハイグウシャ</t>
    </rPh>
    <rPh sb="3" eb="5">
      <t>トクベツ</t>
    </rPh>
    <rPh sb="5" eb="7">
      <t>コウジョ</t>
    </rPh>
    <rPh sb="11" eb="13">
      <t>カケイ</t>
    </rPh>
    <rPh sb="13" eb="16">
      <t>シジシャ</t>
    </rPh>
    <rPh sb="18" eb="20">
      <t>ショトク</t>
    </rPh>
    <rPh sb="20" eb="22">
      <t>クブン</t>
    </rPh>
    <phoneticPr fontId="2"/>
  </si>
  <si>
    <t>給与所得控除のための給与収入区分A</t>
    <rPh sb="0" eb="2">
      <t>キュウヨ</t>
    </rPh>
    <rPh sb="2" eb="4">
      <t>ショトク</t>
    </rPh>
    <rPh sb="4" eb="6">
      <t>コウジョ</t>
    </rPh>
    <rPh sb="10" eb="12">
      <t>キュウヨ</t>
    </rPh>
    <rPh sb="12" eb="14">
      <t>シュウニュウ</t>
    </rPh>
    <rPh sb="14" eb="16">
      <t>クブン</t>
    </rPh>
    <phoneticPr fontId="2"/>
  </si>
  <si>
    <t>給与所得控除のための給与収入区分B</t>
    <rPh sb="0" eb="2">
      <t>キュウヨ</t>
    </rPh>
    <rPh sb="2" eb="4">
      <t>ショトク</t>
    </rPh>
    <rPh sb="4" eb="6">
      <t>コウジョ</t>
    </rPh>
    <rPh sb="10" eb="12">
      <t>キュウヨ</t>
    </rPh>
    <rPh sb="12" eb="14">
      <t>シュウニュウ</t>
    </rPh>
    <rPh sb="14" eb="16">
      <t>クブン</t>
    </rPh>
    <phoneticPr fontId="2"/>
  </si>
  <si>
    <t>給与所得控除のための給与収入区分C</t>
    <rPh sb="0" eb="2">
      <t>キュウヨ</t>
    </rPh>
    <rPh sb="2" eb="4">
      <t>ショトク</t>
    </rPh>
    <rPh sb="4" eb="6">
      <t>コウジョ</t>
    </rPh>
    <rPh sb="10" eb="12">
      <t>キュウヨ</t>
    </rPh>
    <rPh sb="12" eb="14">
      <t>シュウニュウ</t>
    </rPh>
    <rPh sb="14" eb="16">
      <t>クブン</t>
    </rPh>
    <phoneticPr fontId="2"/>
  </si>
  <si>
    <t>給与所得控除のための給与収入区分D</t>
    <rPh sb="0" eb="2">
      <t>キュウヨ</t>
    </rPh>
    <rPh sb="2" eb="4">
      <t>ショトク</t>
    </rPh>
    <rPh sb="4" eb="6">
      <t>コウジョ</t>
    </rPh>
    <rPh sb="10" eb="12">
      <t>キュウヨ</t>
    </rPh>
    <rPh sb="12" eb="14">
      <t>シュウニュウ</t>
    </rPh>
    <rPh sb="14" eb="16">
      <t>クブン</t>
    </rPh>
    <phoneticPr fontId="2"/>
  </si>
  <si>
    <t>給与所得控除のための給与収入区分E</t>
    <rPh sb="0" eb="2">
      <t>キュウヨ</t>
    </rPh>
    <rPh sb="2" eb="4">
      <t>ショトク</t>
    </rPh>
    <rPh sb="4" eb="6">
      <t>コウジョ</t>
    </rPh>
    <rPh sb="10" eb="12">
      <t>キュウヨ</t>
    </rPh>
    <rPh sb="12" eb="14">
      <t>シュウニュウ</t>
    </rPh>
    <rPh sb="14" eb="16">
      <t>クブン</t>
    </rPh>
    <phoneticPr fontId="2"/>
  </si>
  <si>
    <t>給与所得控除のための給与収入区分F</t>
    <rPh sb="0" eb="2">
      <t>キュウヨ</t>
    </rPh>
    <rPh sb="2" eb="4">
      <t>ショトク</t>
    </rPh>
    <rPh sb="4" eb="6">
      <t>コウジョ</t>
    </rPh>
    <rPh sb="10" eb="12">
      <t>キュウヨ</t>
    </rPh>
    <rPh sb="12" eb="14">
      <t>シュウニュウ</t>
    </rPh>
    <rPh sb="14" eb="16">
      <t>クブン</t>
    </rPh>
    <phoneticPr fontId="2"/>
  </si>
  <si>
    <t>給与所得控除のための給与収入区分G</t>
    <rPh sb="0" eb="2">
      <t>キュウヨ</t>
    </rPh>
    <rPh sb="2" eb="4">
      <t>ショトク</t>
    </rPh>
    <rPh sb="4" eb="6">
      <t>コウジョ</t>
    </rPh>
    <rPh sb="10" eb="12">
      <t>キュウヨ</t>
    </rPh>
    <rPh sb="12" eb="14">
      <t>シュウニュウ</t>
    </rPh>
    <rPh sb="14" eb="16">
      <t>クブン</t>
    </rPh>
    <phoneticPr fontId="2"/>
  </si>
  <si>
    <t>給与所得控除のための給与収入区分H</t>
    <rPh sb="0" eb="2">
      <t>キュウヨ</t>
    </rPh>
    <rPh sb="2" eb="4">
      <t>ショトク</t>
    </rPh>
    <rPh sb="4" eb="6">
      <t>コウジョ</t>
    </rPh>
    <rPh sb="10" eb="12">
      <t>キュウヨ</t>
    </rPh>
    <rPh sb="12" eb="14">
      <t>シュウニュウ</t>
    </rPh>
    <rPh sb="14" eb="16">
      <t>クブン</t>
    </rPh>
    <phoneticPr fontId="2"/>
  </si>
  <si>
    <t>給与所得控除のための給与収入区分I</t>
    <rPh sb="0" eb="2">
      <t>キュウヨ</t>
    </rPh>
    <rPh sb="2" eb="4">
      <t>ショトク</t>
    </rPh>
    <rPh sb="4" eb="6">
      <t>コウジョ</t>
    </rPh>
    <rPh sb="10" eb="12">
      <t>キュウヨ</t>
    </rPh>
    <rPh sb="12" eb="14">
      <t>シュウニュウ</t>
    </rPh>
    <rPh sb="14" eb="16">
      <t>クブン</t>
    </rPh>
    <phoneticPr fontId="2"/>
  </si>
  <si>
    <t>給与所得控除のための給与収入区分J</t>
    <rPh sb="0" eb="2">
      <t>キュウヨ</t>
    </rPh>
    <rPh sb="2" eb="4">
      <t>ショトク</t>
    </rPh>
    <rPh sb="4" eb="6">
      <t>コウジョ</t>
    </rPh>
    <rPh sb="10" eb="12">
      <t>キュウヨ</t>
    </rPh>
    <rPh sb="12" eb="14">
      <t>シュウニュウ</t>
    </rPh>
    <rPh sb="14" eb="16">
      <t>クブン</t>
    </rPh>
    <phoneticPr fontId="2"/>
  </si>
  <si>
    <t>文字列</t>
    <rPh sb="0" eb="3">
      <t>モジレツ</t>
    </rPh>
    <phoneticPr fontId="2"/>
  </si>
  <si>
    <t>651000未満の給与所得金額</t>
    <rPh sb="6" eb="8">
      <t>ミマン</t>
    </rPh>
    <rPh sb="9" eb="11">
      <t>キュウヨ</t>
    </rPh>
    <rPh sb="11" eb="13">
      <t>ショトク</t>
    </rPh>
    <rPh sb="13" eb="15">
      <t>キンガク</t>
    </rPh>
    <phoneticPr fontId="2"/>
  </si>
  <si>
    <t>1619000未満の給与所得金額</t>
    <rPh sb="7" eb="9">
      <t>ミマン</t>
    </rPh>
    <rPh sb="10" eb="12">
      <t>キュウヨ</t>
    </rPh>
    <rPh sb="12" eb="14">
      <t>ショトク</t>
    </rPh>
    <rPh sb="14" eb="16">
      <t>キンガク</t>
    </rPh>
    <phoneticPr fontId="2"/>
  </si>
  <si>
    <t>1620000未満の給与所得金額</t>
    <rPh sb="7" eb="9">
      <t>ミマン</t>
    </rPh>
    <rPh sb="10" eb="12">
      <t>キュウヨ</t>
    </rPh>
    <rPh sb="12" eb="14">
      <t>ショトク</t>
    </rPh>
    <rPh sb="14" eb="16">
      <t>キンガク</t>
    </rPh>
    <phoneticPr fontId="2"/>
  </si>
  <si>
    <t>1622000未満の給与所得金額</t>
    <rPh sb="7" eb="9">
      <t>ミマン</t>
    </rPh>
    <rPh sb="10" eb="12">
      <t>キュウヨ</t>
    </rPh>
    <rPh sb="12" eb="14">
      <t>ショトク</t>
    </rPh>
    <rPh sb="14" eb="16">
      <t>キンガク</t>
    </rPh>
    <phoneticPr fontId="2"/>
  </si>
  <si>
    <t>1624000未満の給与所得金額</t>
    <rPh sb="7" eb="9">
      <t>ミマン</t>
    </rPh>
    <rPh sb="10" eb="12">
      <t>キュウヨ</t>
    </rPh>
    <rPh sb="12" eb="14">
      <t>ショトク</t>
    </rPh>
    <rPh sb="14" eb="16">
      <t>キンガク</t>
    </rPh>
    <phoneticPr fontId="2"/>
  </si>
  <si>
    <t>1628000未満の給与所得金額</t>
    <rPh sb="7" eb="9">
      <t>ミマン</t>
    </rPh>
    <rPh sb="10" eb="12">
      <t>キュウヨ</t>
    </rPh>
    <rPh sb="12" eb="14">
      <t>ショトク</t>
    </rPh>
    <rPh sb="14" eb="16">
      <t>キンガク</t>
    </rPh>
    <phoneticPr fontId="2"/>
  </si>
  <si>
    <t>1800000未満の給与所得金額</t>
    <rPh sb="7" eb="9">
      <t>ミマン</t>
    </rPh>
    <rPh sb="10" eb="12">
      <t>キュウヨ</t>
    </rPh>
    <rPh sb="12" eb="14">
      <t>ショトク</t>
    </rPh>
    <rPh sb="14" eb="16">
      <t>キンガク</t>
    </rPh>
    <phoneticPr fontId="2"/>
  </si>
  <si>
    <t>3600000未満の給与所得金額</t>
    <rPh sb="7" eb="9">
      <t>ミマン</t>
    </rPh>
    <rPh sb="10" eb="12">
      <t>キュウヨ</t>
    </rPh>
    <rPh sb="12" eb="14">
      <t>ショトク</t>
    </rPh>
    <rPh sb="14" eb="16">
      <t>キンガク</t>
    </rPh>
    <phoneticPr fontId="2"/>
  </si>
  <si>
    <t>6600000未満の給与所得金額</t>
    <rPh sb="7" eb="9">
      <t>ミマン</t>
    </rPh>
    <rPh sb="10" eb="12">
      <t>キュウヨ</t>
    </rPh>
    <rPh sb="12" eb="14">
      <t>ショトク</t>
    </rPh>
    <rPh sb="14" eb="16">
      <t>キンガク</t>
    </rPh>
    <phoneticPr fontId="2"/>
  </si>
  <si>
    <t>10000000未満の給与所得金額</t>
    <rPh sb="8" eb="10">
      <t>ミマン</t>
    </rPh>
    <rPh sb="11" eb="13">
      <t>キュウヨ</t>
    </rPh>
    <rPh sb="13" eb="15">
      <t>ショトク</t>
    </rPh>
    <rPh sb="15" eb="17">
      <t>キンガク</t>
    </rPh>
    <phoneticPr fontId="2"/>
  </si>
  <si>
    <t>10000000以上の給与所得金額</t>
    <rPh sb="8" eb="10">
      <t>イジョウ</t>
    </rPh>
    <rPh sb="11" eb="13">
      <t>キュウヨ</t>
    </rPh>
    <rPh sb="13" eb="15">
      <t>ショトク</t>
    </rPh>
    <rPh sb="15" eb="17">
      <t>キンガク</t>
    </rPh>
    <phoneticPr fontId="2"/>
  </si>
  <si>
    <t>年金年齢区分</t>
    <rPh sb="0" eb="2">
      <t>ネンキン</t>
    </rPh>
    <rPh sb="2" eb="4">
      <t>ネンレイ</t>
    </rPh>
    <rPh sb="4" eb="6">
      <t>クブン</t>
    </rPh>
    <phoneticPr fontId="2"/>
  </si>
  <si>
    <t>年金65歳以上の収入区分1</t>
    <rPh sb="4" eb="5">
      <t>サイ</t>
    </rPh>
    <rPh sb="5" eb="7">
      <t>イジョウ</t>
    </rPh>
    <rPh sb="8" eb="10">
      <t>シュウニュウ</t>
    </rPh>
    <rPh sb="10" eb="12">
      <t>クブン</t>
    </rPh>
    <phoneticPr fontId="2"/>
  </si>
  <si>
    <t>年金65歳以上の収入区分2</t>
    <rPh sb="4" eb="5">
      <t>サイ</t>
    </rPh>
    <rPh sb="5" eb="7">
      <t>イジョウ</t>
    </rPh>
    <rPh sb="8" eb="10">
      <t>シュウニュウ</t>
    </rPh>
    <rPh sb="10" eb="12">
      <t>クブン</t>
    </rPh>
    <phoneticPr fontId="2"/>
  </si>
  <si>
    <t>年金65歳以上の収入区分3</t>
    <rPh sb="4" eb="5">
      <t>サイ</t>
    </rPh>
    <rPh sb="5" eb="7">
      <t>イジョウ</t>
    </rPh>
    <rPh sb="8" eb="10">
      <t>シュウニュウ</t>
    </rPh>
    <rPh sb="10" eb="12">
      <t>クブン</t>
    </rPh>
    <phoneticPr fontId="2"/>
  </si>
  <si>
    <t>年金65歳以上の収入区分4(平成33年度より使用)</t>
    <rPh sb="4" eb="5">
      <t>サイ</t>
    </rPh>
    <rPh sb="5" eb="7">
      <t>イジョウ</t>
    </rPh>
    <rPh sb="8" eb="10">
      <t>シュウニュウ</t>
    </rPh>
    <rPh sb="10" eb="12">
      <t>クブン</t>
    </rPh>
    <rPh sb="14" eb="16">
      <t>ヘイセイ</t>
    </rPh>
    <rPh sb="18" eb="20">
      <t>ネンド</t>
    </rPh>
    <rPh sb="22" eb="24">
      <t>シヨウ</t>
    </rPh>
    <phoneticPr fontId="2"/>
  </si>
  <si>
    <t>年金65歳未満の収入区分1</t>
    <rPh sb="4" eb="5">
      <t>サイ</t>
    </rPh>
    <rPh sb="5" eb="7">
      <t>ミマン</t>
    </rPh>
    <rPh sb="8" eb="10">
      <t>シュウニュウ</t>
    </rPh>
    <rPh sb="10" eb="12">
      <t>クブン</t>
    </rPh>
    <phoneticPr fontId="2"/>
  </si>
  <si>
    <t>年金65歳未満の収入区分2</t>
    <rPh sb="4" eb="5">
      <t>サイ</t>
    </rPh>
    <rPh sb="5" eb="7">
      <t>ミマン</t>
    </rPh>
    <rPh sb="8" eb="10">
      <t>シュウニュウ</t>
    </rPh>
    <rPh sb="10" eb="12">
      <t>クブン</t>
    </rPh>
    <phoneticPr fontId="2"/>
  </si>
  <si>
    <t>年金65歳未満の収入区分3</t>
    <rPh sb="4" eb="5">
      <t>サイ</t>
    </rPh>
    <rPh sb="5" eb="7">
      <t>ミマン</t>
    </rPh>
    <rPh sb="8" eb="10">
      <t>シュウニュウ</t>
    </rPh>
    <rPh sb="10" eb="12">
      <t>クブン</t>
    </rPh>
    <phoneticPr fontId="2"/>
  </si>
  <si>
    <t>年金65歳未満の収入区分4(平成33年度より使用)</t>
    <rPh sb="4" eb="5">
      <t>サイ</t>
    </rPh>
    <rPh sb="5" eb="7">
      <t>ミマン</t>
    </rPh>
    <rPh sb="8" eb="10">
      <t>シュウニュウ</t>
    </rPh>
    <rPh sb="10" eb="12">
      <t>クブン</t>
    </rPh>
    <rPh sb="14" eb="16">
      <t>ヘイセイ</t>
    </rPh>
    <rPh sb="18" eb="20">
      <t>ネンド</t>
    </rPh>
    <rPh sb="22" eb="24">
      <t>シヨウ</t>
    </rPh>
    <phoneticPr fontId="2"/>
  </si>
  <si>
    <t>収入金額-1200000</t>
    <rPh sb="0" eb="2">
      <t>シュウニュウ</t>
    </rPh>
    <rPh sb="2" eb="4">
      <t>キンガク</t>
    </rPh>
    <phoneticPr fontId="2"/>
  </si>
  <si>
    <t>65歳以上の年金所得額1</t>
    <rPh sb="2" eb="3">
      <t>サイ</t>
    </rPh>
    <rPh sb="3" eb="5">
      <t>イジョウ</t>
    </rPh>
    <rPh sb="6" eb="8">
      <t>ネンキン</t>
    </rPh>
    <rPh sb="8" eb="10">
      <t>ショトク</t>
    </rPh>
    <rPh sb="10" eb="11">
      <t>ガク</t>
    </rPh>
    <phoneticPr fontId="2"/>
  </si>
  <si>
    <t xml:space="preserve">収入金額*0.75-375000 </t>
    <phoneticPr fontId="2"/>
  </si>
  <si>
    <t>65歳以上の年金所得額2</t>
    <rPh sb="2" eb="3">
      <t>サイ</t>
    </rPh>
    <rPh sb="3" eb="5">
      <t>イジョウ</t>
    </rPh>
    <rPh sb="6" eb="8">
      <t>ネンキン</t>
    </rPh>
    <rPh sb="8" eb="10">
      <t>ショトク</t>
    </rPh>
    <rPh sb="10" eb="11">
      <t>ガク</t>
    </rPh>
    <phoneticPr fontId="2"/>
  </si>
  <si>
    <t xml:space="preserve">収入金額*0.85-785000 </t>
    <phoneticPr fontId="2"/>
  </si>
  <si>
    <t>65歳以上の年金所得額3</t>
    <rPh sb="2" eb="3">
      <t>サイ</t>
    </rPh>
    <rPh sb="3" eb="5">
      <t>イジョウ</t>
    </rPh>
    <rPh sb="6" eb="8">
      <t>ネンキン</t>
    </rPh>
    <rPh sb="8" eb="10">
      <t>ショトク</t>
    </rPh>
    <rPh sb="10" eb="11">
      <t>ガク</t>
    </rPh>
    <phoneticPr fontId="2"/>
  </si>
  <si>
    <t xml:space="preserve">収入金額*0.95-1555000 </t>
    <phoneticPr fontId="2"/>
  </si>
  <si>
    <t>65歳以上の年金所得額4</t>
    <rPh sb="2" eb="3">
      <t>サイ</t>
    </rPh>
    <rPh sb="3" eb="5">
      <t>イジョウ</t>
    </rPh>
    <rPh sb="6" eb="8">
      <t>ネンキン</t>
    </rPh>
    <rPh sb="8" eb="10">
      <t>ショトク</t>
    </rPh>
    <rPh sb="10" eb="11">
      <t>ガク</t>
    </rPh>
    <phoneticPr fontId="2"/>
  </si>
  <si>
    <t>収入金額-1995000</t>
    <rPh sb="0" eb="2">
      <t>シュウニュウ</t>
    </rPh>
    <rPh sb="2" eb="4">
      <t>キンガク</t>
    </rPh>
    <phoneticPr fontId="2"/>
  </si>
  <si>
    <t>65歳以上の年金所得額5(平成33年度より使用)</t>
    <rPh sb="2" eb="3">
      <t>サイ</t>
    </rPh>
    <rPh sb="3" eb="5">
      <t>イジョウ</t>
    </rPh>
    <rPh sb="6" eb="8">
      <t>ネンキン</t>
    </rPh>
    <rPh sb="8" eb="10">
      <t>ショトク</t>
    </rPh>
    <rPh sb="10" eb="11">
      <t>ガク</t>
    </rPh>
    <phoneticPr fontId="2"/>
  </si>
  <si>
    <t>収入金額-700000</t>
    <rPh sb="0" eb="2">
      <t>シュウニュウ</t>
    </rPh>
    <rPh sb="2" eb="4">
      <t>キンガク</t>
    </rPh>
    <phoneticPr fontId="2"/>
  </si>
  <si>
    <t>65歳未満の年金所得額1</t>
    <rPh sb="2" eb="3">
      <t>サイ</t>
    </rPh>
    <rPh sb="3" eb="5">
      <t>ミマン</t>
    </rPh>
    <rPh sb="6" eb="8">
      <t>ネンキン</t>
    </rPh>
    <rPh sb="8" eb="10">
      <t>ショトク</t>
    </rPh>
    <rPh sb="10" eb="11">
      <t>ガク</t>
    </rPh>
    <phoneticPr fontId="2"/>
  </si>
  <si>
    <t>65歳未満の年金所得額2</t>
    <rPh sb="2" eb="3">
      <t>サイ</t>
    </rPh>
    <rPh sb="6" eb="8">
      <t>ネンキン</t>
    </rPh>
    <rPh sb="8" eb="10">
      <t>ショトク</t>
    </rPh>
    <rPh sb="10" eb="11">
      <t>ガク</t>
    </rPh>
    <phoneticPr fontId="2"/>
  </si>
  <si>
    <t>65歳未満の年金所得額3</t>
    <rPh sb="2" eb="3">
      <t>サイ</t>
    </rPh>
    <rPh sb="6" eb="8">
      <t>ネンキン</t>
    </rPh>
    <rPh sb="8" eb="10">
      <t>ショトク</t>
    </rPh>
    <rPh sb="10" eb="11">
      <t>ガク</t>
    </rPh>
    <phoneticPr fontId="2"/>
  </si>
  <si>
    <t>65歳未満の年金所得額4</t>
    <rPh sb="2" eb="3">
      <t>サイ</t>
    </rPh>
    <rPh sb="6" eb="8">
      <t>ネンキン</t>
    </rPh>
    <rPh sb="8" eb="10">
      <t>ショトク</t>
    </rPh>
    <rPh sb="10" eb="11">
      <t>ガク</t>
    </rPh>
    <phoneticPr fontId="2"/>
  </si>
  <si>
    <t>65歳未満の年金所得額5(平成33年度より使用)</t>
    <rPh sb="2" eb="3">
      <t>サイ</t>
    </rPh>
    <rPh sb="6" eb="8">
      <t>ネンキン</t>
    </rPh>
    <rPh sb="8" eb="10">
      <t>ショトク</t>
    </rPh>
    <rPh sb="10" eb="11">
      <t>ガク</t>
    </rPh>
    <phoneticPr fontId="2"/>
  </si>
  <si>
    <t>配偶者控除（所得900以下）</t>
    <rPh sb="0" eb="3">
      <t>ハイグウシャ</t>
    </rPh>
    <rPh sb="3" eb="5">
      <t>コウジョ</t>
    </rPh>
    <rPh sb="6" eb="8">
      <t>ショトク</t>
    </rPh>
    <rPh sb="11" eb="13">
      <t>イカ</t>
    </rPh>
    <phoneticPr fontId="2"/>
  </si>
  <si>
    <t>配偶者控除（所得950以下）</t>
    <rPh sb="0" eb="3">
      <t>ハイグウシャ</t>
    </rPh>
    <rPh sb="3" eb="5">
      <t>コウジョ</t>
    </rPh>
    <rPh sb="6" eb="8">
      <t>ショトク</t>
    </rPh>
    <rPh sb="11" eb="13">
      <t>イカ</t>
    </rPh>
    <phoneticPr fontId="2"/>
  </si>
  <si>
    <t>配偶者控除（所得1000以下）</t>
    <rPh sb="0" eb="3">
      <t>ハイグウシャ</t>
    </rPh>
    <rPh sb="3" eb="5">
      <t>コウジョ</t>
    </rPh>
    <rPh sb="6" eb="8">
      <t>ショトク</t>
    </rPh>
    <rPh sb="12" eb="14">
      <t>イカ</t>
    </rPh>
    <phoneticPr fontId="2"/>
  </si>
  <si>
    <t>老人配偶者控除（所得900以下）</t>
    <rPh sb="0" eb="2">
      <t>ロウジン</t>
    </rPh>
    <rPh sb="2" eb="5">
      <t>ハイグウシャ</t>
    </rPh>
    <rPh sb="5" eb="7">
      <t>コウジョ</t>
    </rPh>
    <rPh sb="8" eb="10">
      <t>ショトク</t>
    </rPh>
    <rPh sb="13" eb="15">
      <t>イカ</t>
    </rPh>
    <phoneticPr fontId="2"/>
  </si>
  <si>
    <t>老人配偶者控除（所得950以下）</t>
    <rPh sb="0" eb="2">
      <t>ロウジン</t>
    </rPh>
    <rPh sb="2" eb="5">
      <t>ハイグウシャ</t>
    </rPh>
    <rPh sb="5" eb="7">
      <t>コウジョ</t>
    </rPh>
    <rPh sb="8" eb="10">
      <t>ショトク</t>
    </rPh>
    <rPh sb="13" eb="15">
      <t>イカ</t>
    </rPh>
    <phoneticPr fontId="2"/>
  </si>
  <si>
    <t>老人配偶者控除（所得1000以下）</t>
    <rPh sb="0" eb="2">
      <t>ロウジン</t>
    </rPh>
    <rPh sb="2" eb="5">
      <t>ハイグウシャ</t>
    </rPh>
    <rPh sb="5" eb="7">
      <t>コウジョ</t>
    </rPh>
    <rPh sb="8" eb="10">
      <t>ショトク</t>
    </rPh>
    <rPh sb="14" eb="16">
      <t>イカ</t>
    </rPh>
    <phoneticPr fontId="2"/>
  </si>
  <si>
    <t>配偶者特別控除（所得900以下・配偶者40未満）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</si>
  <si>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</si>
  <si>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</si>
  <si>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</si>
  <si>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</si>
  <si>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</si>
  <si>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</si>
  <si>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</si>
  <si>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</si>
  <si>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配偶者特別控除（所得900以下・配偶者12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</si>
  <si>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</si>
  <si>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</si>
  <si>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</si>
  <si>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</si>
  <si>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</si>
  <si>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</si>
  <si>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</si>
  <si>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</si>
  <si>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</si>
  <si>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配偶者特別控除（所得950以下・配偶者12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</si>
  <si>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配偶者特別控除（所得1000以下・配偶者40未満）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</si>
  <si>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配偶者特別控除（所得1000以下・配偶者45未満）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</si>
  <si>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配偶者特別控除（所得1000以下・配偶者90以下）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</si>
  <si>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配偶者特別控除（所得1000以下・配偶者95以下）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</si>
  <si>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配偶者特別控除（所得1000以下・配偶者100以下）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</si>
  <si>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配偶者特別控除（所得1000以下・配偶者105以下）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</si>
  <si>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</si>
  <si>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</si>
  <si>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配偶者特別控除（所得1000以下・配偶者120以下）</t>
    <rPh sb="0" eb="3">
      <t>ハイグウシャ</t>
    </rPh>
    <rPh sb="3" eb="5">
      <t>トクベツ</t>
    </rPh>
    <rPh sb="5" eb="7">
      <t>コウジョ</t>
    </rPh>
    <rPh sb="8" eb="10">
      <t>ショトク</t>
    </rPh>
    <rPh sb="14" eb="16">
      <t>イカ</t>
    </rPh>
    <rPh sb="17" eb="20">
      <t>ハイグウシャ</t>
    </rPh>
    <rPh sb="23" eb="25">
      <t>イカ</t>
    </rPh>
    <phoneticPr fontId="2"/>
  </si>
  <si>
    <r>
      <t>配偶者特別控除（所得1000以下・配偶者12</t>
    </r>
    <r>
      <rPr>
        <sz val="11"/>
        <rFont val="ＭＳ Ｐゴシック"/>
        <family val="3"/>
        <charset val="128"/>
        <scheme val="minor"/>
      </rPr>
      <t>3以下）</t>
    </r>
    <rPh sb="0" eb="3">
      <t>ハイグウシャ</t>
    </rPh>
    <rPh sb="3" eb="5">
      <t>トクベツ</t>
    </rPh>
    <rPh sb="5" eb="7">
      <t>コウジョ</t>
    </rPh>
    <rPh sb="8" eb="10">
      <t>ショトク</t>
    </rPh>
    <rPh sb="14" eb="16">
      <t>イカ</t>
    </rPh>
    <rPh sb="17" eb="20">
      <t>ハイグウシャ</t>
    </rPh>
    <rPh sb="23" eb="25">
      <t>イカ</t>
    </rPh>
    <phoneticPr fontId="2"/>
  </si>
  <si>
    <t>扶養控除（同老）</t>
    <rPh sb="0" eb="2">
      <t>フヨウ</t>
    </rPh>
    <rPh sb="2" eb="4">
      <t>コウジョ</t>
    </rPh>
    <rPh sb="5" eb="6">
      <t>ドウ</t>
    </rPh>
    <rPh sb="6" eb="7">
      <t>ロウ</t>
    </rPh>
    <phoneticPr fontId="2"/>
  </si>
  <si>
    <t>16歳未満扶養親族</t>
    <rPh sb="2" eb="5">
      <t>サイミマン</t>
    </rPh>
    <rPh sb="5" eb="7">
      <t>フヨウ</t>
    </rPh>
    <rPh sb="7" eb="9">
      <t>シンゾク</t>
    </rPh>
    <phoneticPr fontId="2"/>
  </si>
  <si>
    <t>特別寡婦控除</t>
    <rPh sb="0" eb="2">
      <t>トクベツ</t>
    </rPh>
    <rPh sb="2" eb="4">
      <t>カフ</t>
    </rPh>
    <rPh sb="4" eb="6">
      <t>コウジョ</t>
    </rPh>
    <phoneticPr fontId="2"/>
  </si>
  <si>
    <t>控除対象勤労学生</t>
    <rPh sb="0" eb="2">
      <t>コウジョ</t>
    </rPh>
    <rPh sb="2" eb="4">
      <t>タイショウ</t>
    </rPh>
    <rPh sb="4" eb="6">
      <t>キンロウ</t>
    </rPh>
    <rPh sb="6" eb="8">
      <t>ガクセイ</t>
    </rPh>
    <phoneticPr fontId="2"/>
  </si>
  <si>
    <t>非課税限度の1人当たりの金額</t>
    <rPh sb="0" eb="1">
      <t>ヒ</t>
    </rPh>
    <rPh sb="1" eb="3">
      <t>カゼイ</t>
    </rPh>
    <rPh sb="3" eb="5">
      <t>ゲンド</t>
    </rPh>
    <rPh sb="7" eb="8">
      <t>ニン</t>
    </rPh>
    <rPh sb="8" eb="9">
      <t>ア</t>
    </rPh>
    <rPh sb="12" eb="14">
      <t>キンガク</t>
    </rPh>
    <phoneticPr fontId="2"/>
  </si>
  <si>
    <t>非課税限度の加算額</t>
    <rPh sb="0" eb="1">
      <t>ヒ</t>
    </rPh>
    <rPh sb="1" eb="3">
      <t>カゼイ</t>
    </rPh>
    <rPh sb="3" eb="5">
      <t>ゲンド</t>
    </rPh>
    <rPh sb="6" eb="9">
      <t>カサンガク</t>
    </rPh>
    <phoneticPr fontId="2"/>
  </si>
  <si>
    <t>特定の場合の非課税の基準</t>
    <rPh sb="0" eb="2">
      <t>トクテイ</t>
    </rPh>
    <rPh sb="3" eb="5">
      <t>バアイ</t>
    </rPh>
    <rPh sb="6" eb="7">
      <t>ヒ</t>
    </rPh>
    <rPh sb="7" eb="9">
      <t>カゼイ</t>
    </rPh>
    <rPh sb="10" eb="12">
      <t>キジュン</t>
    </rPh>
    <phoneticPr fontId="2"/>
  </si>
  <si>
    <t>寡婦控除の基準</t>
    <rPh sb="0" eb="2">
      <t>カフ</t>
    </rPh>
    <rPh sb="2" eb="4">
      <t>コウジョ</t>
    </rPh>
    <rPh sb="5" eb="7">
      <t>キジュン</t>
    </rPh>
    <phoneticPr fontId="2"/>
  </si>
  <si>
    <t>所得金額調整控除の上限　H33以降より使用</t>
    <rPh sb="0" eb="2">
      <t>ショトク</t>
    </rPh>
    <rPh sb="2" eb="4">
      <t>キンガク</t>
    </rPh>
    <rPh sb="4" eb="6">
      <t>チョウセイ</t>
    </rPh>
    <rPh sb="6" eb="8">
      <t>コウジョ</t>
    </rPh>
    <rPh sb="9" eb="11">
      <t>ジョウゲン</t>
    </rPh>
    <rPh sb="15" eb="17">
      <t>イコウ</t>
    </rPh>
    <rPh sb="19" eb="21">
      <t>シヨウ</t>
    </rPh>
    <phoneticPr fontId="2"/>
  </si>
  <si>
    <t>非課税限度の共通加算額　H33以降より使用</t>
    <rPh sb="0" eb="1">
      <t>ヒ</t>
    </rPh>
    <rPh sb="1" eb="3">
      <t>カゼイ</t>
    </rPh>
    <rPh sb="3" eb="5">
      <t>ゲンド</t>
    </rPh>
    <rPh sb="6" eb="8">
      <t>キョウツウ</t>
    </rPh>
    <rPh sb="8" eb="11">
      <t>カサンガク</t>
    </rPh>
    <phoneticPr fontId="2"/>
  </si>
  <si>
    <t>勤労学生区分の所得上限</t>
    <rPh sb="0" eb="2">
      <t>キンロウ</t>
    </rPh>
    <rPh sb="2" eb="4">
      <t>ガクセイ</t>
    </rPh>
    <rPh sb="4" eb="6">
      <t>クブン</t>
    </rPh>
    <rPh sb="7" eb="9">
      <t>ショトク</t>
    </rPh>
    <rPh sb="9" eb="11">
      <t>ジョウゲン</t>
    </rPh>
    <phoneticPr fontId="2"/>
  </si>
  <si>
    <t>調整控除の合計所得金額の基準</t>
    <rPh sb="0" eb="2">
      <t>チョウセイ</t>
    </rPh>
    <rPh sb="2" eb="4">
      <t>コウジョ</t>
    </rPh>
    <rPh sb="5" eb="7">
      <t>ゴウケイ</t>
    </rPh>
    <rPh sb="7" eb="9">
      <t>ショトク</t>
    </rPh>
    <rPh sb="9" eb="11">
      <t>キンガク</t>
    </rPh>
    <rPh sb="12" eb="14">
      <t>キジュン</t>
    </rPh>
    <phoneticPr fontId="2"/>
  </si>
  <si>
    <t>調整控除の市町村民税のパーセンテージ</t>
    <rPh sb="0" eb="2">
      <t>チョウセイ</t>
    </rPh>
    <rPh sb="2" eb="4">
      <t>コウジョ</t>
    </rPh>
    <rPh sb="5" eb="8">
      <t>シチョウソン</t>
    </rPh>
    <rPh sb="8" eb="9">
      <t>ミン</t>
    </rPh>
    <rPh sb="9" eb="10">
      <t>ゼイ</t>
    </rPh>
    <phoneticPr fontId="2"/>
  </si>
  <si>
    <t>調整控除の基準額以上の場合の下限</t>
    <rPh sb="0" eb="2">
      <t>チョウセイ</t>
    </rPh>
    <rPh sb="2" eb="4">
      <t>コウジョ</t>
    </rPh>
    <rPh sb="5" eb="7">
      <t>キジュン</t>
    </rPh>
    <rPh sb="7" eb="8">
      <t>ガク</t>
    </rPh>
    <rPh sb="8" eb="10">
      <t>イジョウ</t>
    </rPh>
    <rPh sb="11" eb="13">
      <t>バアイ</t>
    </rPh>
    <rPh sb="14" eb="16">
      <t>カゲン</t>
    </rPh>
    <phoneticPr fontId="2"/>
  </si>
  <si>
    <t>配偶者控除区分</t>
    <rPh sb="0" eb="3">
      <t>ハイグウシャ</t>
    </rPh>
    <rPh sb="3" eb="5">
      <t>コウジョ</t>
    </rPh>
    <rPh sb="5" eb="7">
      <t>クブン</t>
    </rPh>
    <phoneticPr fontId="2"/>
  </si>
  <si>
    <t>給与収入金額JPY</t>
    <rPh sb="0" eb="2">
      <t>キュウヨ</t>
    </rPh>
    <rPh sb="2" eb="4">
      <t>シュウニュウ</t>
    </rPh>
    <rPh sb="4" eb="6">
      <t>キンガク</t>
    </rPh>
    <phoneticPr fontId="2"/>
  </si>
  <si>
    <t>項番</t>
    <rPh sb="0" eb="1">
      <t>コウ</t>
    </rPh>
    <rPh sb="1" eb="2">
      <t>バン</t>
    </rPh>
    <phoneticPr fontId="2"/>
  </si>
  <si>
    <t>※給与収入金額=Kyuyoshunyu1またはKyuyoshunyu2</t>
    <rPh sb="1" eb="3">
      <t>キュウヨ</t>
    </rPh>
    <rPh sb="3" eb="5">
      <t>シュウニュウ</t>
    </rPh>
    <rPh sb="5" eb="7">
      <t>キンガク</t>
    </rPh>
    <phoneticPr fontId="2"/>
  </si>
  <si>
    <t>※Ｔ04には反映されていないが、実際にはT11の給与収入の区分に応じて上記の計算式を適用</t>
    <rPh sb="6" eb="8">
      <t>ハンエイ</t>
    </rPh>
    <rPh sb="16" eb="18">
      <t>ジッサイ</t>
    </rPh>
    <rPh sb="24" eb="26">
      <t>キュウヨ</t>
    </rPh>
    <rPh sb="26" eb="28">
      <t>シュウニュウ</t>
    </rPh>
    <rPh sb="29" eb="31">
      <t>クブン</t>
    </rPh>
    <rPh sb="32" eb="33">
      <t>オウ</t>
    </rPh>
    <rPh sb="35" eb="37">
      <t>ジョウキ</t>
    </rPh>
    <rPh sb="38" eb="40">
      <t>ケイサン</t>
    </rPh>
    <rPh sb="40" eb="41">
      <t>シキ</t>
    </rPh>
    <rPh sb="42" eb="44">
      <t>テキヨウ</t>
    </rPh>
    <phoneticPr fontId="2"/>
  </si>
  <si>
    <t>Aa</t>
    <phoneticPr fontId="2"/>
  </si>
  <si>
    <t>Ba</t>
    <phoneticPr fontId="2"/>
  </si>
  <si>
    <t>Ca</t>
    <phoneticPr fontId="2"/>
  </si>
  <si>
    <t>Ab</t>
    <phoneticPr fontId="2"/>
  </si>
  <si>
    <t>Ac</t>
    <phoneticPr fontId="2"/>
  </si>
  <si>
    <t>Ad</t>
    <phoneticPr fontId="2"/>
  </si>
  <si>
    <t>Ae</t>
    <phoneticPr fontId="2"/>
  </si>
  <si>
    <t>Af</t>
    <phoneticPr fontId="2"/>
  </si>
  <si>
    <t>Ag</t>
    <phoneticPr fontId="2"/>
  </si>
  <si>
    <t>Ah</t>
    <phoneticPr fontId="2"/>
  </si>
  <si>
    <t>Ai</t>
    <phoneticPr fontId="2"/>
  </si>
  <si>
    <t>Aj</t>
    <phoneticPr fontId="2"/>
  </si>
  <si>
    <t>Ak</t>
    <phoneticPr fontId="2"/>
  </si>
  <si>
    <t>Bb</t>
    <phoneticPr fontId="2"/>
  </si>
  <si>
    <t>Bc</t>
    <phoneticPr fontId="2"/>
  </si>
  <si>
    <t>Bd</t>
    <phoneticPr fontId="2"/>
  </si>
  <si>
    <t>Be</t>
    <phoneticPr fontId="2"/>
  </si>
  <si>
    <t>Bf</t>
    <phoneticPr fontId="2"/>
  </si>
  <si>
    <t>Bg</t>
    <phoneticPr fontId="2"/>
  </si>
  <si>
    <t>Bh</t>
    <phoneticPr fontId="2"/>
  </si>
  <si>
    <t>Bi</t>
    <phoneticPr fontId="2"/>
  </si>
  <si>
    <t>Bj</t>
    <phoneticPr fontId="2"/>
  </si>
  <si>
    <t>Bk</t>
    <phoneticPr fontId="2"/>
  </si>
  <si>
    <t>Cb</t>
    <phoneticPr fontId="2"/>
  </si>
  <si>
    <t>Cc</t>
    <phoneticPr fontId="2"/>
  </si>
  <si>
    <t>Cd</t>
    <phoneticPr fontId="2"/>
  </si>
  <si>
    <t>Ce</t>
    <phoneticPr fontId="2"/>
  </si>
  <si>
    <t>Cf</t>
    <phoneticPr fontId="2"/>
  </si>
  <si>
    <t>Cg</t>
    <phoneticPr fontId="2"/>
  </si>
  <si>
    <t>Ch</t>
    <phoneticPr fontId="2"/>
  </si>
  <si>
    <t>Ci</t>
    <phoneticPr fontId="2"/>
  </si>
  <si>
    <t>Cj</t>
    <phoneticPr fontId="2"/>
  </si>
  <si>
    <t>Ck</t>
    <phoneticPr fontId="2"/>
  </si>
  <si>
    <t>a</t>
    <phoneticPr fontId="2"/>
  </si>
  <si>
    <t>b</t>
    <phoneticPr fontId="2"/>
  </si>
  <si>
    <t>c</t>
    <phoneticPr fontId="2"/>
  </si>
  <si>
    <t>指定都市以外の市町村民税所得割税率</t>
    <rPh sb="0" eb="2">
      <t>シテイ</t>
    </rPh>
    <rPh sb="2" eb="4">
      <t>トシ</t>
    </rPh>
    <rPh sb="4" eb="6">
      <t>イガイ</t>
    </rPh>
    <rPh sb="7" eb="10">
      <t>シチョウソン</t>
    </rPh>
    <rPh sb="10" eb="11">
      <t>ミン</t>
    </rPh>
    <rPh sb="11" eb="12">
      <t>ゼイ</t>
    </rPh>
    <rPh sb="12" eb="14">
      <t>ショトク</t>
    </rPh>
    <rPh sb="14" eb="15">
      <t>ワリ</t>
    </rPh>
    <rPh sb="15" eb="17">
      <t>ゼイリツ</t>
    </rPh>
    <phoneticPr fontId="2"/>
  </si>
  <si>
    <t>指定都市の市町村民税所得割税率</t>
    <rPh sb="0" eb="2">
      <t>シテイ</t>
    </rPh>
    <rPh sb="2" eb="4">
      <t>トシ</t>
    </rPh>
    <rPh sb="5" eb="8">
      <t>シチョウソン</t>
    </rPh>
    <rPh sb="8" eb="9">
      <t>ミン</t>
    </rPh>
    <rPh sb="9" eb="10">
      <t>ゼイ</t>
    </rPh>
    <rPh sb="10" eb="12">
      <t>ショトク</t>
    </rPh>
    <rPh sb="12" eb="13">
      <t>ワリ</t>
    </rPh>
    <rPh sb="13" eb="15">
      <t>ゼイリツ</t>
    </rPh>
    <phoneticPr fontId="2"/>
  </si>
  <si>
    <t>課税標準額の単位</t>
    <rPh sb="0" eb="2">
      <t>カゼイ</t>
    </rPh>
    <rPh sb="2" eb="4">
      <t>ヒョウジュン</t>
    </rPh>
    <rPh sb="4" eb="5">
      <t>ガク</t>
    </rPh>
    <rPh sb="6" eb="8">
      <t>タンイ</t>
    </rPh>
    <phoneticPr fontId="2"/>
  </si>
  <si>
    <t>所得割額の単位</t>
    <rPh sb="0" eb="2">
      <t>ショトク</t>
    </rPh>
    <rPh sb="2" eb="3">
      <t>ワリ</t>
    </rPh>
    <rPh sb="3" eb="4">
      <t>ガク</t>
    </rPh>
    <rPh sb="5" eb="7">
      <t>タンイ</t>
    </rPh>
    <phoneticPr fontId="2"/>
  </si>
  <si>
    <t>配偶者（特別）控除額</t>
    <rPh sb="0" eb="3">
      <t>ハイグウシャ</t>
    </rPh>
    <rPh sb="4" eb="6">
      <t>トクベツ</t>
    </rPh>
    <rPh sb="7" eb="9">
      <t>コウジョ</t>
    </rPh>
    <rPh sb="9" eb="10">
      <t>ガク</t>
    </rPh>
    <phoneticPr fontId="2"/>
  </si>
  <si>
    <t>特別の障がい者である</t>
    <rPh sb="0" eb="2">
      <t>トクベツ</t>
    </rPh>
    <rPh sb="3" eb="4">
      <t>ショウ</t>
    </rPh>
    <rPh sb="6" eb="7">
      <t>シャ</t>
    </rPh>
    <phoneticPr fontId="2"/>
  </si>
  <si>
    <t>所得控除合計額</t>
    <rPh sb="0" eb="2">
      <t>ショトク</t>
    </rPh>
    <rPh sb="2" eb="4">
      <t>コウジョ</t>
    </rPh>
    <rPh sb="4" eb="6">
      <t>ゴウケイ</t>
    </rPh>
    <rPh sb="6" eb="7">
      <t>ガク</t>
    </rPh>
    <phoneticPr fontId="2"/>
  </si>
  <si>
    <t>配偶者（特別）の差額</t>
    <rPh sb="0" eb="3">
      <t>ハイグウシャ</t>
    </rPh>
    <rPh sb="4" eb="6">
      <t>トクベツ</t>
    </rPh>
    <rPh sb="8" eb="10">
      <t>サガク</t>
    </rPh>
    <phoneticPr fontId="2"/>
  </si>
  <si>
    <t>年金所得金額</t>
    <rPh sb="0" eb="2">
      <t>ネンキン</t>
    </rPh>
    <rPh sb="2" eb="4">
      <t>ショトク</t>
    </rPh>
    <rPh sb="4" eb="6">
      <t>キンガク</t>
    </rPh>
    <phoneticPr fontId="2"/>
  </si>
  <si>
    <t>年金収入金額JPY</t>
    <rPh sb="0" eb="2">
      <t>ネンキン</t>
    </rPh>
    <rPh sb="2" eb="4">
      <t>シュウニュウ</t>
    </rPh>
    <rPh sb="4" eb="6">
      <t>キンガク</t>
    </rPh>
    <phoneticPr fontId="2"/>
  </si>
  <si>
    <t>事業所得金額JPY</t>
    <rPh sb="0" eb="2">
      <t>ジギョウ</t>
    </rPh>
    <rPh sb="2" eb="4">
      <t>ショトク</t>
    </rPh>
    <rPh sb="4" eb="6">
      <t>キンガク</t>
    </rPh>
    <phoneticPr fontId="2"/>
  </si>
  <si>
    <t>給与収入金額の通貨</t>
    <rPh sb="0" eb="2">
      <t>キュウヨ</t>
    </rPh>
    <rPh sb="2" eb="4">
      <t>シュウニュウ</t>
    </rPh>
    <rPh sb="4" eb="6">
      <t>キンガク</t>
    </rPh>
    <rPh sb="7" eb="9">
      <t>ツウカ</t>
    </rPh>
    <phoneticPr fontId="2"/>
  </si>
  <si>
    <t>公的年金等収入の通貨</t>
    <rPh sb="0" eb="2">
      <t>コウテキ</t>
    </rPh>
    <rPh sb="2" eb="4">
      <t>ネンキン</t>
    </rPh>
    <rPh sb="4" eb="5">
      <t>トウ</t>
    </rPh>
    <rPh sb="5" eb="7">
      <t>シュウニュウ</t>
    </rPh>
    <rPh sb="8" eb="10">
      <t>ツウカ</t>
    </rPh>
    <phoneticPr fontId="2"/>
  </si>
  <si>
    <t>　給与収入金額</t>
    <rPh sb="1" eb="3">
      <t>キュウヨ</t>
    </rPh>
    <rPh sb="3" eb="5">
      <t>シュウニュウ</t>
    </rPh>
    <rPh sb="5" eb="7">
      <t>キンガク</t>
    </rPh>
    <phoneticPr fontId="2"/>
  </si>
  <si>
    <t>　公的年金等収入金額</t>
    <rPh sb="1" eb="3">
      <t>コウテキ</t>
    </rPh>
    <rPh sb="3" eb="5">
      <t>ネンキン</t>
    </rPh>
    <rPh sb="5" eb="6">
      <t>トウ</t>
    </rPh>
    <rPh sb="6" eb="8">
      <t>シュウニュウ</t>
    </rPh>
    <rPh sb="8" eb="10">
      <t>キンガク</t>
    </rPh>
    <phoneticPr fontId="2"/>
  </si>
  <si>
    <t>生計維持者１の氏名</t>
    <rPh sb="0" eb="2">
      <t>セイケイ</t>
    </rPh>
    <rPh sb="2" eb="4">
      <t>イジ</t>
    </rPh>
    <rPh sb="4" eb="5">
      <t>シャ</t>
    </rPh>
    <rPh sb="7" eb="9">
      <t>シメイ</t>
    </rPh>
    <phoneticPr fontId="2"/>
  </si>
  <si>
    <t>生計維持者２の氏名</t>
    <rPh sb="0" eb="2">
      <t>セイケイ</t>
    </rPh>
    <rPh sb="2" eb="4">
      <t>イジ</t>
    </rPh>
    <rPh sb="4" eb="5">
      <t>シャ</t>
    </rPh>
    <rPh sb="7" eb="9">
      <t>シメイ</t>
    </rPh>
    <phoneticPr fontId="2"/>
  </si>
  <si>
    <t>生計維持者１</t>
    <rPh sb="0" eb="2">
      <t>セイケイ</t>
    </rPh>
    <rPh sb="2" eb="4">
      <t>イジ</t>
    </rPh>
    <rPh sb="4" eb="5">
      <t>シャ</t>
    </rPh>
    <phoneticPr fontId="2"/>
  </si>
  <si>
    <t>生計維持者２</t>
    <rPh sb="0" eb="2">
      <t>セイケイ</t>
    </rPh>
    <rPh sb="2" eb="4">
      <t>イジ</t>
    </rPh>
    <rPh sb="4" eb="5">
      <t>シャ</t>
    </rPh>
    <phoneticPr fontId="2"/>
  </si>
  <si>
    <t>　給与収入金額の通貨</t>
    <rPh sb="1" eb="3">
      <t>キュウヨ</t>
    </rPh>
    <rPh sb="3" eb="5">
      <t>シュウニュウ</t>
    </rPh>
    <rPh sb="5" eb="7">
      <t>キンガク</t>
    </rPh>
    <rPh sb="8" eb="10">
      <t>ツウカ</t>
    </rPh>
    <phoneticPr fontId="2"/>
  </si>
  <si>
    <t>　　給与収入金額</t>
    <rPh sb="2" eb="4">
      <t>キュウヨ</t>
    </rPh>
    <rPh sb="4" eb="6">
      <t>シュウニュウ</t>
    </rPh>
    <rPh sb="6" eb="8">
      <t>キンガク</t>
    </rPh>
    <phoneticPr fontId="2"/>
  </si>
  <si>
    <t>生計維持者の基本情報</t>
    <rPh sb="0" eb="2">
      <t>セイケイ</t>
    </rPh>
    <rPh sb="2" eb="4">
      <t>イジ</t>
    </rPh>
    <rPh sb="4" eb="5">
      <t>シャ</t>
    </rPh>
    <rPh sb="6" eb="8">
      <t>キホン</t>
    </rPh>
    <rPh sb="8" eb="10">
      <t>ジョウホウ</t>
    </rPh>
    <phoneticPr fontId="2"/>
  </si>
  <si>
    <t>生計維持者の収入・所得の情報</t>
    <rPh sb="0" eb="2">
      <t>セイケイ</t>
    </rPh>
    <rPh sb="2" eb="4">
      <t>イジ</t>
    </rPh>
    <rPh sb="4" eb="5">
      <t>シャ</t>
    </rPh>
    <rPh sb="6" eb="8">
      <t>シュウニュウ</t>
    </rPh>
    <rPh sb="9" eb="11">
      <t>ショトク</t>
    </rPh>
    <rPh sb="12" eb="14">
      <t>ジョウホウ</t>
    </rPh>
    <phoneticPr fontId="2"/>
  </si>
  <si>
    <t>ｐ</t>
    <phoneticPr fontId="2"/>
  </si>
  <si>
    <t>申込者本人該当区分：扶養控除（一般）</t>
    <rPh sb="0" eb="2">
      <t>モウシコミ</t>
    </rPh>
    <rPh sb="2" eb="3">
      <t>シャ</t>
    </rPh>
    <rPh sb="3" eb="5">
      <t>ホンニン</t>
    </rPh>
    <rPh sb="5" eb="7">
      <t>ガイトウ</t>
    </rPh>
    <rPh sb="7" eb="9">
      <t>クブン</t>
    </rPh>
    <rPh sb="10" eb="12">
      <t>フヨウ</t>
    </rPh>
    <rPh sb="12" eb="14">
      <t>コウジョ</t>
    </rPh>
    <rPh sb="15" eb="17">
      <t>イッパン</t>
    </rPh>
    <phoneticPr fontId="2"/>
  </si>
  <si>
    <t>申込者本人該当区分：扶養控除（特定）</t>
    <rPh sb="3" eb="5">
      <t>ホンニン</t>
    </rPh>
    <rPh sb="5" eb="7">
      <t>ガイトウ</t>
    </rPh>
    <rPh sb="7" eb="9">
      <t>クブン</t>
    </rPh>
    <rPh sb="10" eb="12">
      <t>フヨウ</t>
    </rPh>
    <rPh sb="12" eb="14">
      <t>コウジョ</t>
    </rPh>
    <rPh sb="15" eb="17">
      <t>トクテイ</t>
    </rPh>
    <phoneticPr fontId="2"/>
  </si>
  <si>
    <t>申込者本人該当区分：障害者控除（一般）</t>
    <rPh sb="3" eb="5">
      <t>ホンニン</t>
    </rPh>
    <rPh sb="5" eb="7">
      <t>ガイトウ</t>
    </rPh>
    <rPh sb="7" eb="9">
      <t>クブン</t>
    </rPh>
    <rPh sb="10" eb="13">
      <t>ショウガイシャ</t>
    </rPh>
    <rPh sb="13" eb="15">
      <t>コウジョ</t>
    </rPh>
    <rPh sb="16" eb="18">
      <t>イッパン</t>
    </rPh>
    <phoneticPr fontId="2"/>
  </si>
  <si>
    <t>申込者本人該当区分：障害者控除（特定）</t>
    <rPh sb="3" eb="5">
      <t>ホンニン</t>
    </rPh>
    <rPh sb="5" eb="7">
      <t>ガイトウ</t>
    </rPh>
    <rPh sb="7" eb="9">
      <t>クブン</t>
    </rPh>
    <rPh sb="10" eb="13">
      <t>ショウガイシャ</t>
    </rPh>
    <rPh sb="13" eb="15">
      <t>コウジョ</t>
    </rPh>
    <rPh sb="16" eb="18">
      <t>トクテイ</t>
    </rPh>
    <phoneticPr fontId="2"/>
  </si>
  <si>
    <t>申込者本人該当区分：障害者控除（同特）</t>
    <rPh sb="3" eb="5">
      <t>ホンニン</t>
    </rPh>
    <rPh sb="5" eb="7">
      <t>ガイトウ</t>
    </rPh>
    <rPh sb="7" eb="9">
      <t>クブン</t>
    </rPh>
    <rPh sb="10" eb="13">
      <t>ショウガイシャ</t>
    </rPh>
    <rPh sb="13" eb="15">
      <t>コウジョ</t>
    </rPh>
    <rPh sb="16" eb="17">
      <t>ドウ</t>
    </rPh>
    <rPh sb="17" eb="18">
      <t>トク</t>
    </rPh>
    <phoneticPr fontId="2"/>
  </si>
  <si>
    <t>扶養されていない</t>
    <rPh sb="0" eb="2">
      <t>フヨウ</t>
    </rPh>
    <phoneticPr fontId="2"/>
  </si>
  <si>
    <t>申込者本人該当区分：扶養控除（16未満）</t>
    <rPh sb="0" eb="2">
      <t>モウシコミ</t>
    </rPh>
    <rPh sb="2" eb="3">
      <t>シャ</t>
    </rPh>
    <rPh sb="3" eb="5">
      <t>ホンニン</t>
    </rPh>
    <rPh sb="5" eb="7">
      <t>ガイトウ</t>
    </rPh>
    <rPh sb="7" eb="9">
      <t>クブン</t>
    </rPh>
    <rPh sb="10" eb="12">
      <t>フヨウ</t>
    </rPh>
    <rPh sb="12" eb="14">
      <t>コウジョ</t>
    </rPh>
    <rPh sb="17" eb="19">
      <t>ミマン</t>
    </rPh>
    <phoneticPr fontId="2"/>
  </si>
  <si>
    <t>＜署名欄＞</t>
    <rPh sb="1" eb="3">
      <t>ショメイ</t>
    </rPh>
    <rPh sb="3" eb="4">
      <t>ラン</t>
    </rPh>
    <phoneticPr fontId="2"/>
  </si>
  <si>
    <t>どちらの生計維持者に扶養されていますか</t>
    <rPh sb="4" eb="6">
      <t>セイケイ</t>
    </rPh>
    <rPh sb="6" eb="8">
      <t>イジ</t>
    </rPh>
    <rPh sb="8" eb="9">
      <t>シャ</t>
    </rPh>
    <rPh sb="10" eb="12">
      <t>フヨウ</t>
    </rPh>
    <phoneticPr fontId="2"/>
  </si>
  <si>
    <t>障がい者に該当していますか</t>
    <rPh sb="0" eb="1">
      <t>ショウ</t>
    </rPh>
    <rPh sb="3" eb="4">
      <t>シャ</t>
    </rPh>
    <rPh sb="5" eb="7">
      <t>ガイトウ</t>
    </rPh>
    <phoneticPr fontId="2"/>
  </si>
  <si>
    <t>　生計維持者と同居していますか</t>
    <rPh sb="1" eb="3">
      <t>セイケイ</t>
    </rPh>
    <rPh sb="3" eb="5">
      <t>イジ</t>
    </rPh>
    <rPh sb="5" eb="6">
      <t>シャ</t>
    </rPh>
    <rPh sb="7" eb="9">
      <t>ドウキョ</t>
    </rPh>
    <phoneticPr fontId="2"/>
  </si>
  <si>
    <t>寡婦または寡夫ですか</t>
    <rPh sb="0" eb="2">
      <t>カフ</t>
    </rPh>
    <rPh sb="5" eb="7">
      <t>カフ</t>
    </rPh>
    <phoneticPr fontId="2"/>
  </si>
  <si>
    <t>独立行政法人日本学生支援機構理事長　殿</t>
    <rPh sb="0" eb="2">
      <t>ドクリツ</t>
    </rPh>
    <rPh sb="2" eb="4">
      <t>ギョウセイ</t>
    </rPh>
    <rPh sb="4" eb="6">
      <t>ホウジン</t>
    </rPh>
    <rPh sb="6" eb="9">
      <t>ニホンガク</t>
    </rPh>
    <rPh sb="9" eb="10">
      <t>セイ</t>
    </rPh>
    <rPh sb="10" eb="12">
      <t>シエン</t>
    </rPh>
    <rPh sb="12" eb="14">
      <t>キコウ</t>
    </rPh>
    <rPh sb="14" eb="17">
      <t>リジチョウ</t>
    </rPh>
    <rPh sb="18" eb="19">
      <t>ドノ</t>
    </rPh>
    <phoneticPr fontId="2"/>
  </si>
  <si>
    <t>＜機構使用欄＞</t>
    <rPh sb="1" eb="3">
      <t>キコウ</t>
    </rPh>
    <rPh sb="3" eb="5">
      <t>シヨウ</t>
    </rPh>
    <rPh sb="5" eb="6">
      <t>ラン</t>
    </rPh>
    <phoneticPr fontId="2"/>
  </si>
  <si>
    <t>扶養親族等のうち一般障がい者の数</t>
    <rPh sb="0" eb="2">
      <t>フヨウ</t>
    </rPh>
    <rPh sb="2" eb="4">
      <t>シンゾク</t>
    </rPh>
    <rPh sb="4" eb="5">
      <t>トウ</t>
    </rPh>
    <rPh sb="8" eb="10">
      <t>イッパン</t>
    </rPh>
    <rPh sb="10" eb="11">
      <t>ショウ</t>
    </rPh>
    <rPh sb="13" eb="14">
      <t>シャ</t>
    </rPh>
    <rPh sb="15" eb="16">
      <t>カズ</t>
    </rPh>
    <phoneticPr fontId="1"/>
  </si>
  <si>
    <t>扶養親族等のうち同居していない特別障がい者の数</t>
    <rPh sb="0" eb="2">
      <t>フヨウ</t>
    </rPh>
    <rPh sb="2" eb="4">
      <t>シンゾク</t>
    </rPh>
    <rPh sb="4" eb="5">
      <t>トウ</t>
    </rPh>
    <rPh sb="8" eb="10">
      <t>ドウキョ</t>
    </rPh>
    <rPh sb="15" eb="17">
      <t>トクベツ</t>
    </rPh>
    <rPh sb="17" eb="18">
      <t>ショウ</t>
    </rPh>
    <rPh sb="20" eb="21">
      <t>シャ</t>
    </rPh>
    <rPh sb="22" eb="23">
      <t>カズ</t>
    </rPh>
    <phoneticPr fontId="1"/>
  </si>
  <si>
    <t>扶養親族等のうち同居特別障がい者の数</t>
    <rPh sb="0" eb="2">
      <t>フヨウ</t>
    </rPh>
    <rPh sb="2" eb="4">
      <t>シンゾク</t>
    </rPh>
    <rPh sb="4" eb="5">
      <t>トウ</t>
    </rPh>
    <rPh sb="8" eb="10">
      <t>ドウキョ</t>
    </rPh>
    <rPh sb="10" eb="12">
      <t>トクベツ</t>
    </rPh>
    <rPh sb="12" eb="13">
      <t>ショウ</t>
    </rPh>
    <rPh sb="15" eb="16">
      <t>シャ</t>
    </rPh>
    <rPh sb="17" eb="18">
      <t>カズ</t>
    </rPh>
    <phoneticPr fontId="1"/>
  </si>
  <si>
    <t>　　　　https://www.nta.go.jp/taxes/shiraberu/taxanswer/shotoku/1160.htm　(国税庁HP)</t>
    <phoneticPr fontId="2"/>
  </si>
  <si>
    <t>給与・年金以外の所得の通貨</t>
    <rPh sb="0" eb="2">
      <t>キュウヨ</t>
    </rPh>
    <rPh sb="3" eb="5">
      <t>ネンキン</t>
    </rPh>
    <rPh sb="5" eb="7">
      <t>イガイ</t>
    </rPh>
    <rPh sb="8" eb="10">
      <t>ショトク</t>
    </rPh>
    <rPh sb="11" eb="13">
      <t>ツウカ</t>
    </rPh>
    <phoneticPr fontId="2"/>
  </si>
  <si>
    <t>　給与・年金以外の所得の金額</t>
    <rPh sb="1" eb="3">
      <t>キュウヨ</t>
    </rPh>
    <rPh sb="4" eb="6">
      <t>ネンキン</t>
    </rPh>
    <rPh sb="6" eb="8">
      <t>イガイ</t>
    </rPh>
    <rPh sb="9" eb="11">
      <t>ショトク</t>
    </rPh>
    <rPh sb="12" eb="14">
      <t>キンガク</t>
    </rPh>
    <phoneticPr fontId="2"/>
  </si>
  <si>
    <t>　給与・年金以外の所得の通貨</t>
    <rPh sb="1" eb="3">
      <t>キュウヨ</t>
    </rPh>
    <rPh sb="4" eb="6">
      <t>ネンキン</t>
    </rPh>
    <rPh sb="6" eb="8">
      <t>イガイ</t>
    </rPh>
    <rPh sb="9" eb="11">
      <t>ショトク</t>
    </rPh>
    <rPh sb="12" eb="14">
      <t>ツウカ</t>
    </rPh>
    <phoneticPr fontId="2"/>
  </si>
  <si>
    <t>　　給与・年金以外の所得の金額</t>
    <rPh sb="2" eb="4">
      <t>キュウヨ</t>
    </rPh>
    <rPh sb="5" eb="7">
      <t>ネンキン</t>
    </rPh>
    <rPh sb="7" eb="9">
      <t>イガイ</t>
    </rPh>
    <rPh sb="10" eb="12">
      <t>ショトク</t>
    </rPh>
    <rPh sb="13" eb="15">
      <t>キンガク</t>
    </rPh>
    <phoneticPr fontId="2"/>
  </si>
  <si>
    <t>＜入力にあたって＞</t>
    <rPh sb="1" eb="3">
      <t>ニュウリョク</t>
    </rPh>
    <phoneticPr fontId="2"/>
  </si>
  <si>
    <t>　場合、生計維持者との関係を明らかにする書類も必要です。国内に居住している生計維持者については、マイナンバーを提出してください。</t>
    <rPh sb="1" eb="3">
      <t>バアイ</t>
    </rPh>
    <rPh sb="4" eb="6">
      <t>セイケイ</t>
    </rPh>
    <rPh sb="6" eb="8">
      <t>イジ</t>
    </rPh>
    <rPh sb="8" eb="9">
      <t>シャ</t>
    </rPh>
    <rPh sb="11" eb="13">
      <t>カンケイ</t>
    </rPh>
    <rPh sb="14" eb="15">
      <t>アキ</t>
    </rPh>
    <rPh sb="20" eb="22">
      <t>ショルイ</t>
    </rPh>
    <rPh sb="22" eb="24">
      <t>ショウショルイ</t>
    </rPh>
    <rPh sb="23" eb="25">
      <t>ヒツヨウ</t>
    </rPh>
    <rPh sb="28" eb="30">
      <t>コクナイ</t>
    </rPh>
    <rPh sb="31" eb="33">
      <t>キョジュウ</t>
    </rPh>
    <rPh sb="37" eb="39">
      <t>セイケイ</t>
    </rPh>
    <rPh sb="39" eb="41">
      <t>イジ</t>
    </rPh>
    <rPh sb="41" eb="42">
      <t>シャ</t>
    </rPh>
    <rPh sb="55" eb="57">
      <t>テイシュツ</t>
    </rPh>
    <phoneticPr fontId="2"/>
  </si>
  <si>
    <t>配偶者はいますか</t>
    <rPh sb="0" eb="3">
      <t>ハイグウシャ</t>
    </rPh>
    <phoneticPr fontId="2"/>
  </si>
  <si>
    <t>配偶者有無</t>
    <rPh sb="0" eb="3">
      <t>ハイグウシャ</t>
    </rPh>
    <rPh sb="3" eb="5">
      <t>ウム</t>
    </rPh>
    <phoneticPr fontId="2"/>
  </si>
  <si>
    <r>
      <t>生計維持者の扶養の情報</t>
    </r>
    <r>
      <rPr>
        <b/>
        <sz val="8"/>
        <color theme="1"/>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</si>
  <si>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t>　配偶者と同居していますか</t>
    <rPh sb="1" eb="4">
      <t>ハイグウシャ</t>
    </rPh>
    <rPh sb="5" eb="7">
      <t>ドウキョ</t>
    </rPh>
    <phoneticPr fontId="2"/>
  </si>
  <si>
    <t>給与・年金計</t>
    <rPh sb="0" eb="2">
      <t>キュウヨ</t>
    </rPh>
    <rPh sb="3" eb="5">
      <t>ネンキン</t>
    </rPh>
    <rPh sb="5" eb="6">
      <t>ケイ</t>
    </rPh>
    <phoneticPr fontId="2"/>
  </si>
  <si>
    <t>事業等所得</t>
    <rPh sb="0" eb="2">
      <t>ジギョウ</t>
    </rPh>
    <rPh sb="2" eb="3">
      <t>トウ</t>
    </rPh>
    <rPh sb="3" eb="5">
      <t>ショトク</t>
    </rPh>
    <phoneticPr fontId="2"/>
  </si>
  <si>
    <r>
      <t>　配偶者は生計維持者２ですか</t>
    </r>
    <r>
      <rPr>
        <sz val="6"/>
        <color theme="1"/>
        <rFont val="ＭＳ Ｐゴシック"/>
        <family val="3"/>
        <charset val="128"/>
        <scheme val="minor"/>
      </rPr>
      <t>※</t>
    </r>
    <rPh sb="1" eb="4">
      <t>ハイグウシャ</t>
    </rPh>
    <rPh sb="5" eb="7">
      <t>セイケイ</t>
    </rPh>
    <rPh sb="7" eb="9">
      <t>イジ</t>
    </rPh>
    <rPh sb="9" eb="10">
      <t>シャ</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</si>
  <si>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</si>
  <si>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</si>
  <si>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</si>
  <si>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</si>
  <si>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</si>
  <si>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</si>
  <si>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</si>
  <si>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</si>
  <si>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</si>
  <si>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</si>
  <si>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</si>
  <si>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</si>
  <si>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</si>
  <si>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</si>
  <si>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</si>
  <si>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</si>
  <si>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</si>
  <si>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</si>
  <si>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</si>
  <si>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</si>
  <si>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</si>
  <si>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</si>
  <si>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</si>
  <si>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</si>
  <si>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</si>
  <si>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</si>
  <si>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</si>
  <si>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</si>
  <si>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</si>
  <si>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30</t>
    <phoneticPr fontId="2"/>
  </si>
  <si>
    <t>31</t>
    <phoneticPr fontId="2"/>
  </si>
  <si>
    <t>32</t>
    <phoneticPr fontId="2"/>
  </si>
  <si>
    <t>33</t>
    <phoneticPr fontId="2"/>
  </si>
  <si>
    <t>34</t>
    <phoneticPr fontId="2"/>
  </si>
  <si>
    <t>35</t>
    <phoneticPr fontId="2"/>
  </si>
  <si>
    <t>36</t>
    <phoneticPr fontId="2"/>
  </si>
  <si>
    <t>37</t>
    <phoneticPr fontId="2"/>
  </si>
  <si>
    <t>38</t>
    <phoneticPr fontId="2"/>
  </si>
  <si>
    <t>39</t>
    <phoneticPr fontId="2"/>
  </si>
  <si>
    <t>40</t>
    <phoneticPr fontId="2"/>
  </si>
  <si>
    <t>41</t>
    <phoneticPr fontId="2"/>
  </si>
  <si>
    <t>42</t>
    <phoneticPr fontId="2"/>
  </si>
  <si>
    <t>43</t>
    <phoneticPr fontId="2"/>
  </si>
  <si>
    <t>44</t>
    <phoneticPr fontId="2"/>
  </si>
  <si>
    <t>45</t>
    <phoneticPr fontId="2"/>
  </si>
  <si>
    <t>46</t>
    <phoneticPr fontId="2"/>
  </si>
  <si>
    <t>47</t>
    <phoneticPr fontId="2"/>
  </si>
  <si>
    <t>記入にあたっての注意事項</t>
    <rPh sb="0" eb="2">
      <t>キニュウ</t>
    </rPh>
    <rPh sb="8" eb="10">
      <t>チュウイ</t>
    </rPh>
    <rPh sb="10" eb="12">
      <t>ジコウ</t>
    </rPh>
    <phoneticPr fontId="2"/>
  </si>
  <si>
    <t>(5)原則として、日本国外で得た収入については、その証明書に基づき、証明書に記載されているものと同じ通貨で申告する必要があります。これらの通貨は、当機構が日本円に換算して計算します。なお、各通貨の対円レートは、日本銀行が公表している１月分の報告省令レートに基づきます。ただし、米ドルのレートについては、日本銀行が公表している外国為替市況（１月１日時点で確認できる最新のもの）のうち、前営業日円インデックスを参照しています。</t>
    <rPh sb="3" eb="5">
      <t>ゲンソク</t>
    </rPh>
    <rPh sb="9" eb="11">
      <t>ニホン</t>
    </rPh>
    <rPh sb="11" eb="13">
      <t>コクガイ</t>
    </rPh>
    <rPh sb="14" eb="15">
      <t>エ</t>
    </rPh>
    <rPh sb="16" eb="18">
      <t>シュウニュウ</t>
    </rPh>
    <rPh sb="26" eb="29">
      <t>ショウメイショ</t>
    </rPh>
    <rPh sb="30" eb="31">
      <t>モト</t>
    </rPh>
    <rPh sb="34" eb="37">
      <t>ショウメイショ</t>
    </rPh>
    <rPh sb="38" eb="40">
      <t>キサイ</t>
    </rPh>
    <rPh sb="48" eb="49">
      <t>オナ</t>
    </rPh>
    <rPh sb="50" eb="52">
      <t>ツウカ</t>
    </rPh>
    <rPh sb="53" eb="55">
      <t>シンコク</t>
    </rPh>
    <rPh sb="57" eb="59">
      <t>ヒツヨウ</t>
    </rPh>
    <rPh sb="69" eb="71">
      <t>ツウカ</t>
    </rPh>
    <rPh sb="73" eb="74">
      <t>トウ</t>
    </rPh>
    <rPh sb="74" eb="76">
      <t>キコウ</t>
    </rPh>
    <rPh sb="77" eb="80">
      <t>ニホンエン</t>
    </rPh>
    <rPh sb="81" eb="83">
      <t>カンサン</t>
    </rPh>
    <rPh sb="85" eb="87">
      <t>ケイサン</t>
    </rPh>
    <rPh sb="94" eb="95">
      <t>カク</t>
    </rPh>
    <rPh sb="95" eb="97">
      <t>ツウカ</t>
    </rPh>
    <rPh sb="98" eb="100">
      <t>タイエン</t>
    </rPh>
    <rPh sb="105" eb="107">
      <t>ニッポン</t>
    </rPh>
    <rPh sb="107" eb="109">
      <t>ギンコウ</t>
    </rPh>
    <rPh sb="110" eb="112">
      <t>コウヒョウ</t>
    </rPh>
    <rPh sb="117" eb="119">
      <t>ガツブン</t>
    </rPh>
    <rPh sb="120" eb="122">
      <t>ホウコク</t>
    </rPh>
    <rPh sb="122" eb="124">
      <t>ショウレイ</t>
    </rPh>
    <rPh sb="128" eb="129">
      <t>モト</t>
    </rPh>
    <rPh sb="138" eb="139">
      <t>ベイ</t>
    </rPh>
    <rPh sb="151" eb="153">
      <t>ニッポン</t>
    </rPh>
    <rPh sb="153" eb="155">
      <t>ギンコウ</t>
    </rPh>
    <rPh sb="156" eb="158">
      <t>コウヒョウ</t>
    </rPh>
    <rPh sb="162" eb="164">
      <t>ガイコク</t>
    </rPh>
    <rPh sb="164" eb="166">
      <t>カワセ</t>
    </rPh>
    <rPh sb="166" eb="168">
      <t>シキョウ</t>
    </rPh>
    <rPh sb="170" eb="171">
      <t>ガツ</t>
    </rPh>
    <rPh sb="172" eb="173">
      <t>ニチ</t>
    </rPh>
    <rPh sb="173" eb="175">
      <t>ジテン</t>
    </rPh>
    <rPh sb="176" eb="178">
      <t>カクニン</t>
    </rPh>
    <rPh sb="181" eb="183">
      <t>サイシン</t>
    </rPh>
    <rPh sb="191" eb="192">
      <t>マエ</t>
    </rPh>
    <rPh sb="192" eb="195">
      <t>エイギョウビ</t>
    </rPh>
    <rPh sb="195" eb="196">
      <t>エン</t>
    </rPh>
    <rPh sb="203" eb="205">
      <t>サンショウ</t>
    </rPh>
    <phoneticPr fontId="2"/>
  </si>
  <si>
    <t>オーストラリア・ドル (AUD)</t>
  </si>
  <si>
    <t>機構　母</t>
    <rPh sb="0" eb="2">
      <t>キコウ</t>
    </rPh>
    <rPh sb="3" eb="4">
      <t>ハハ</t>
    </rPh>
    <phoneticPr fontId="2"/>
  </si>
  <si>
    <t>Kikou Chihi</t>
    <phoneticPr fontId="2"/>
  </si>
  <si>
    <t>14.・17.生計維持者が所得税法に定める（もしくは、所得税法の定めに該当すると考えられる）障害者であるかを選択します。</t>
    <rPh sb="27" eb="29">
      <t>ショトク</t>
    </rPh>
    <rPh sb="29" eb="31">
      <t>ゼイホウ</t>
    </rPh>
    <rPh sb="32" eb="33">
      <t>サダ</t>
    </rPh>
    <rPh sb="35" eb="37">
      <t>ガイトウ</t>
    </rPh>
    <rPh sb="40" eb="41">
      <t>カンガ</t>
    </rPh>
    <rPh sb="46" eb="49">
      <t>ショウガイシャ</t>
    </rPh>
    <phoneticPr fontId="2"/>
  </si>
  <si>
    <r>
      <t>署名欄・署名日は直筆である必要があります。印鑑がない場合、</t>
    </r>
    <r>
      <rPr>
        <sz val="10"/>
        <rFont val="ＭＳ Ｐゴシック"/>
        <family val="3"/>
        <charset val="128"/>
        <scheme val="minor"/>
      </rPr>
      <t>押印は不要です。</t>
    </r>
    <rPh sb="0" eb="2">
      <t>ショメイ</t>
    </rPh>
    <rPh sb="2" eb="3">
      <t>ラン</t>
    </rPh>
    <rPh sb="4" eb="6">
      <t>ショメイ</t>
    </rPh>
    <rPh sb="6" eb="7">
      <t>ビ</t>
    </rPh>
    <rPh sb="8" eb="10">
      <t>ジキヒツ</t>
    </rPh>
    <rPh sb="13" eb="15">
      <t>ヒツヨウ</t>
    </rPh>
    <rPh sb="21" eb="23">
      <t>インカン</t>
    </rPh>
    <rPh sb="26" eb="28">
      <t>バアイ</t>
    </rPh>
    <rPh sb="29" eb="31">
      <t>オウイン</t>
    </rPh>
    <rPh sb="32" eb="34">
      <t>フヨウ</t>
    </rPh>
    <phoneticPr fontId="2"/>
  </si>
  <si>
    <t>機構　太郎</t>
    <phoneticPr fontId="2"/>
  </si>
  <si>
    <t>機構　父</t>
    <phoneticPr fontId="2"/>
  </si>
  <si>
    <t>機構　母</t>
    <phoneticPr fontId="2"/>
  </si>
  <si>
    <t>必要添付書類</t>
    <rPh sb="0" eb="2">
      <t>ヒツヨウ</t>
    </rPh>
    <rPh sb="2" eb="4">
      <t>テンプ</t>
    </rPh>
    <rPh sb="4" eb="6">
      <t>ショルイ</t>
    </rPh>
    <phoneticPr fontId="2"/>
  </si>
  <si>
    <t>入力結果に応じて、必要な添付書類</t>
    <rPh sb="0" eb="2">
      <t>ニュウリョク</t>
    </rPh>
    <rPh sb="2" eb="4">
      <t>ケッカ</t>
    </rPh>
    <rPh sb="5" eb="6">
      <t>オウ</t>
    </rPh>
    <rPh sb="9" eb="11">
      <t>ヒツヨウ</t>
    </rPh>
    <rPh sb="12" eb="14">
      <t>テンプ</t>
    </rPh>
    <rPh sb="14" eb="16">
      <t>ショルイ</t>
    </rPh>
    <phoneticPr fontId="2"/>
  </si>
  <si>
    <t>に〇がつきます。機構HPで具体的な</t>
    <rPh sb="8" eb="10">
      <t>キコウ</t>
    </rPh>
    <rPh sb="13" eb="15">
      <t>グタイ</t>
    </rPh>
    <rPh sb="15" eb="16">
      <t>テキ</t>
    </rPh>
    <phoneticPr fontId="2"/>
  </si>
  <si>
    <t>必要書類を確認してください。</t>
    <rPh sb="0" eb="2">
      <t>ヒツヨウ</t>
    </rPh>
    <rPh sb="2" eb="4">
      <t>ショルイ</t>
    </rPh>
    <rPh sb="5" eb="7">
      <t>カクニン</t>
    </rPh>
    <phoneticPr fontId="2"/>
  </si>
  <si>
    <t>所得金額に関するもの</t>
    <rPh sb="0" eb="2">
      <t>ショトク</t>
    </rPh>
    <rPh sb="2" eb="4">
      <t>キンガク</t>
    </rPh>
    <rPh sb="5" eb="6">
      <t>カン</t>
    </rPh>
    <phoneticPr fontId="2"/>
  </si>
  <si>
    <t>○</t>
    <phoneticPr fontId="2"/>
  </si>
  <si>
    <t>寡婦控除（本人の場合は勤労学生控除）</t>
    <rPh sb="0" eb="2">
      <t>カフ</t>
    </rPh>
    <rPh sb="2" eb="4">
      <t>コウジョ</t>
    </rPh>
    <rPh sb="5" eb="7">
      <t>ホンニン</t>
    </rPh>
    <rPh sb="8" eb="10">
      <t>バアイ</t>
    </rPh>
    <rPh sb="11" eb="13">
      <t>キンロウ</t>
    </rPh>
    <rPh sb="13" eb="15">
      <t>ガクセイ</t>
    </rPh>
    <rPh sb="15" eb="17">
      <t>コウジョ</t>
    </rPh>
    <phoneticPr fontId="2"/>
  </si>
  <si>
    <t>海外居住者のための収入等申告書</t>
    <rPh sb="0" eb="2">
      <t>カイガイ</t>
    </rPh>
    <rPh sb="2" eb="5">
      <t>キョジュウシャ</t>
    </rPh>
    <rPh sb="9" eb="11">
      <t>シュウニュウ</t>
    </rPh>
    <rPh sb="11" eb="12">
      <t>トウ</t>
    </rPh>
    <rPh sb="12" eb="14">
      <t>シンコク</t>
    </rPh>
    <rPh sb="14" eb="15">
      <t>ショ</t>
    </rPh>
    <phoneticPr fontId="2"/>
  </si>
  <si>
    <t>障がい者に関するもの</t>
    <phoneticPr fontId="2"/>
  </si>
  <si>
    <t>ひとり親世帯に関するもの</t>
    <phoneticPr fontId="2"/>
  </si>
  <si>
    <t>世帯構成に関するもの</t>
    <phoneticPr fontId="2"/>
  </si>
  <si>
    <t>配偶者の所得に関するもの</t>
    <phoneticPr fontId="2"/>
  </si>
  <si>
    <t>（ yyyy / m / d ）</t>
    <phoneticPr fontId="2"/>
  </si>
  <si>
    <t>提出日</t>
    <rPh sb="0" eb="2">
      <t>テイシュツ</t>
    </rPh>
    <rPh sb="2" eb="3">
      <t>ビ</t>
    </rPh>
    <phoneticPr fontId="2"/>
  </si>
  <si>
    <t>本人生年月日</t>
    <rPh sb="0" eb="2">
      <t>ホンニン</t>
    </rPh>
    <rPh sb="2" eb="4">
      <t>セイネン</t>
    </rPh>
    <rPh sb="4" eb="6">
      <t>ガッピ</t>
    </rPh>
    <phoneticPr fontId="2"/>
  </si>
  <si>
    <t>　選択肢に存在しない通貨については、入力時に米ドルに換算（１月１日時点のレート）して、米ドルを選択して入力してください。</t>
    <rPh sb="18" eb="21">
      <t>ニュウリョクジ</t>
    </rPh>
    <rPh sb="43" eb="44">
      <t>ベイ</t>
    </rPh>
    <rPh sb="47" eb="49">
      <t>センタク</t>
    </rPh>
    <rPh sb="51" eb="53">
      <t>ニュウリョク</t>
    </rPh>
    <phoneticPr fontId="2"/>
  </si>
  <si>
    <t>１　国外に居住している全ての生計維持者の情報を入力したうえで印刷し、収入等の証明書類（和訳付）を添付してください。扶養親族がいる</t>
    <rPh sb="2" eb="4">
      <t>コクガイ</t>
    </rPh>
    <rPh sb="5" eb="7">
      <t>キョジュウ</t>
    </rPh>
    <rPh sb="11" eb="12">
      <t>スベ</t>
    </rPh>
    <rPh sb="14" eb="16">
      <t>セイケイ</t>
    </rPh>
    <rPh sb="16" eb="18">
      <t>イジ</t>
    </rPh>
    <rPh sb="18" eb="19">
      <t>シャ</t>
    </rPh>
    <rPh sb="20" eb="22">
      <t>ジョウホウ</t>
    </rPh>
    <rPh sb="23" eb="25">
      <t>ニュウリョク</t>
    </rPh>
    <rPh sb="30" eb="32">
      <t>インサツ</t>
    </rPh>
    <rPh sb="34" eb="36">
      <t>シュウニュウ</t>
    </rPh>
    <rPh sb="36" eb="37">
      <t>トウ</t>
    </rPh>
    <rPh sb="38" eb="40">
      <t>ショウメイ</t>
    </rPh>
    <rPh sb="40" eb="42">
      <t>ショルイ</t>
    </rPh>
    <rPh sb="43" eb="45">
      <t>ワヤク</t>
    </rPh>
    <rPh sb="45" eb="46">
      <t>ツ</t>
    </rPh>
    <rPh sb="48" eb="50">
      <t>テンプ</t>
    </rPh>
    <phoneticPr fontId="2"/>
  </si>
  <si>
    <t>A</t>
    <phoneticPr fontId="2"/>
  </si>
  <si>
    <t>B</t>
    <phoneticPr fontId="2"/>
  </si>
  <si>
    <t>　C-1</t>
    <phoneticPr fontId="2"/>
  </si>
  <si>
    <t>　C-2</t>
    <phoneticPr fontId="2"/>
  </si>
  <si>
    <t>36.～38.・45.～47.　30以降で入力した扶養親族のうち、所得税法に定める（もしくは、所得税法の定めに該当すると考えられる）障がい者の人数を入力します。</t>
    <rPh sb="18" eb="20">
      <t>イコウ</t>
    </rPh>
    <rPh sb="21" eb="23">
      <t>ニュウリョク</t>
    </rPh>
    <rPh sb="25" eb="27">
      <t>フヨウ</t>
    </rPh>
    <rPh sb="27" eb="29">
      <t>シンゾク</t>
    </rPh>
    <rPh sb="33" eb="35">
      <t>ショトク</t>
    </rPh>
    <rPh sb="35" eb="37">
      <t>ゼイホウ</t>
    </rPh>
    <rPh sb="38" eb="39">
      <t>サダ</t>
    </rPh>
    <rPh sb="47" eb="49">
      <t>ショトク</t>
    </rPh>
    <rPh sb="49" eb="51">
      <t>ゼイホウ</t>
    </rPh>
    <rPh sb="52" eb="53">
      <t>サダ</t>
    </rPh>
    <rPh sb="55" eb="57">
      <t>ガイトウ</t>
    </rPh>
    <rPh sb="60" eb="61">
      <t>カンガ</t>
    </rPh>
    <rPh sb="66" eb="67">
      <t>ショウ</t>
    </rPh>
    <rPh sb="69" eb="70">
      <t>シャ</t>
    </rPh>
    <rPh sb="71" eb="73">
      <t>ニンズウ</t>
    </rPh>
    <rPh sb="74" eb="76">
      <t>ニュウリョク</t>
    </rPh>
    <phoneticPr fontId="2"/>
  </si>
  <si>
    <t>(2)この申告書は、PC・スマートフォン等により必要事項を入力した後に、印刷し、証明書類を添付して、当機構の指定する提出先に提出する必要があります。</t>
    <rPh sb="5" eb="7">
      <t>シンコク</t>
    </rPh>
    <rPh sb="7" eb="8">
      <t>ショ</t>
    </rPh>
    <rPh sb="20" eb="21">
      <t>トウ</t>
    </rPh>
    <rPh sb="24" eb="26">
      <t>ヒツヨウ</t>
    </rPh>
    <rPh sb="26" eb="28">
      <t>ジコウ</t>
    </rPh>
    <rPh sb="29" eb="31">
      <t>ニュウリョク</t>
    </rPh>
    <rPh sb="33" eb="34">
      <t>アト</t>
    </rPh>
    <rPh sb="36" eb="38">
      <t>インサツ</t>
    </rPh>
    <rPh sb="40" eb="42">
      <t>ショウメイ</t>
    </rPh>
    <rPh sb="42" eb="44">
      <t>ショルイ</t>
    </rPh>
    <rPh sb="45" eb="47">
      <t>テンプ</t>
    </rPh>
    <rPh sb="50" eb="51">
      <t>トウ</t>
    </rPh>
    <rPh sb="51" eb="53">
      <t>キコウ</t>
    </rPh>
    <rPh sb="54" eb="56">
      <t>シテイ</t>
    </rPh>
    <rPh sb="58" eb="60">
      <t>テイシュツ</t>
    </rPh>
    <rPh sb="60" eb="61">
      <t>サキ</t>
    </rPh>
    <rPh sb="62" eb="64">
      <t>テイシュツ</t>
    </rPh>
    <rPh sb="66" eb="68">
      <t>ヒツヨウ</t>
    </rPh>
    <phoneticPr fontId="2"/>
  </si>
  <si>
    <t>申込区分</t>
    <rPh sb="0" eb="2">
      <t>モウシコミ</t>
    </rPh>
    <rPh sb="2" eb="4">
      <t>クブン</t>
    </rPh>
    <phoneticPr fontId="2"/>
  </si>
  <si>
    <t>春の大学等在学採用</t>
    <rPh sb="0" eb="1">
      <t>ハル</t>
    </rPh>
    <rPh sb="2" eb="4">
      <t>ダイガク</t>
    </rPh>
    <rPh sb="4" eb="5">
      <t>トウ</t>
    </rPh>
    <rPh sb="5" eb="7">
      <t>ザイガク</t>
    </rPh>
    <rPh sb="7" eb="9">
      <t>サイヨウ</t>
    </rPh>
    <phoneticPr fontId="2"/>
  </si>
  <si>
    <t>秋の大学等在学採用</t>
    <rPh sb="0" eb="1">
      <t>アキ</t>
    </rPh>
    <rPh sb="2" eb="4">
      <t>ダイガク</t>
    </rPh>
    <rPh sb="4" eb="5">
      <t>トウ</t>
    </rPh>
    <rPh sb="5" eb="7">
      <t>ザイガク</t>
    </rPh>
    <rPh sb="7" eb="9">
      <t>サイヨウ</t>
    </rPh>
    <phoneticPr fontId="2"/>
  </si>
  <si>
    <t>高校等での予約採用</t>
    <rPh sb="0" eb="2">
      <t>コウコウ</t>
    </rPh>
    <rPh sb="2" eb="3">
      <t>トウ</t>
    </rPh>
    <rPh sb="5" eb="7">
      <t>ヨヤク</t>
    </rPh>
    <rPh sb="7" eb="9">
      <t>サイヨウ</t>
    </rPh>
    <phoneticPr fontId="2"/>
  </si>
  <si>
    <t>申込年度</t>
    <rPh sb="0" eb="2">
      <t>モウシコミ</t>
    </rPh>
    <rPh sb="2" eb="4">
      <t>ネンド</t>
    </rPh>
    <phoneticPr fontId="2"/>
  </si>
  <si>
    <t>区分</t>
    <rPh sb="0" eb="2">
      <t>クブン</t>
    </rPh>
    <phoneticPr fontId="2"/>
  </si>
  <si>
    <t>賦課期日</t>
    <rPh sb="0" eb="2">
      <t>フカ</t>
    </rPh>
    <rPh sb="2" eb="4">
      <t>キジツ</t>
    </rPh>
    <phoneticPr fontId="2"/>
  </si>
  <si>
    <t>経済基準の適格認定</t>
    <rPh sb="0" eb="2">
      <t>ケイザイ</t>
    </rPh>
    <rPh sb="2" eb="4">
      <t>キジュン</t>
    </rPh>
    <rPh sb="5" eb="7">
      <t>テキカク</t>
    </rPh>
    <rPh sb="7" eb="9">
      <t>ニンテイ</t>
    </rPh>
    <phoneticPr fontId="2"/>
  </si>
  <si>
    <t>対象の年度（西暦4桁）</t>
    <rPh sb="0" eb="2">
      <t>タイショウ</t>
    </rPh>
    <rPh sb="3" eb="5">
      <t>ネンド</t>
    </rPh>
    <rPh sb="6" eb="8">
      <t>セイレキ</t>
    </rPh>
    <rPh sb="9" eb="10">
      <t>ケタ</t>
    </rPh>
    <phoneticPr fontId="2"/>
  </si>
  <si>
    <t>前年当年区分（0=前年 1=当年）</t>
    <rPh sb="0" eb="2">
      <t>ゼンネン</t>
    </rPh>
    <rPh sb="2" eb="3">
      <t>トウ</t>
    </rPh>
    <rPh sb="3" eb="4">
      <t>ネン</t>
    </rPh>
    <rPh sb="4" eb="6">
      <t>クブン</t>
    </rPh>
    <rPh sb="9" eb="11">
      <t>ゼンネン</t>
    </rPh>
    <rPh sb="14" eb="15">
      <t>トウ</t>
    </rPh>
    <rPh sb="15" eb="16">
      <t>ネン</t>
    </rPh>
    <phoneticPr fontId="2"/>
  </si>
  <si>
    <t>生年月日（yyyy/mm/dd）</t>
    <rPh sb="0" eb="2">
      <t>セイネン</t>
    </rPh>
    <rPh sb="2" eb="4">
      <t>ガッピ</t>
    </rPh>
    <phoneticPr fontId="2"/>
  </si>
  <si>
    <t>生年月日（yyyy/m/d）</t>
    <rPh sb="0" eb="2">
      <t>セイネン</t>
    </rPh>
    <rPh sb="2" eb="4">
      <t>ガッピ</t>
    </rPh>
    <phoneticPr fontId="2"/>
  </si>
  <si>
    <t>年齢</t>
    <rPh sb="0" eb="2">
      <t>ネンレイ</t>
    </rPh>
    <phoneticPr fontId="2"/>
  </si>
  <si>
    <t>２　選択肢に存在する通貨のレートは、日本銀行が報告する本年１月分の報告省令レートに基づき当機構が換算します。</t>
    <rPh sb="2" eb="5">
      <t>センタクシ</t>
    </rPh>
    <rPh sb="6" eb="8">
      <t>ソンザイ</t>
    </rPh>
    <rPh sb="10" eb="12">
      <t>ツウカ</t>
    </rPh>
    <rPh sb="18" eb="20">
      <t>ニッポン</t>
    </rPh>
    <rPh sb="20" eb="22">
      <t>ギンコウ</t>
    </rPh>
    <rPh sb="23" eb="25">
      <t>ホウコク</t>
    </rPh>
    <rPh sb="27" eb="29">
      <t>ホンネン</t>
    </rPh>
    <rPh sb="30" eb="32">
      <t>ガツブン</t>
    </rPh>
    <rPh sb="33" eb="35">
      <t>ホウコク</t>
    </rPh>
    <rPh sb="35" eb="37">
      <t>ショウレイ</t>
    </rPh>
    <rPh sb="41" eb="42">
      <t>モト</t>
    </rPh>
    <rPh sb="44" eb="45">
      <t>トウ</t>
    </rPh>
    <rPh sb="45" eb="47">
      <t>キコウ</t>
    </rPh>
    <rPh sb="48" eb="50">
      <t>カンサン</t>
    </rPh>
    <phoneticPr fontId="2"/>
  </si>
  <si>
    <t>３　「障がい者」とは、所得税・住民税における障害者控除の条件を満たしている人をいいます。詳細な条件は下記をご参照ください。</t>
    <rPh sb="3" eb="4">
      <t>ショウ</t>
    </rPh>
    <rPh sb="6" eb="7">
      <t>シャ</t>
    </rPh>
    <rPh sb="28" eb="30">
      <t>ジョウケン</t>
    </rPh>
    <rPh sb="31" eb="32">
      <t>ミ</t>
    </rPh>
    <rPh sb="37" eb="38">
      <t>ヒト</t>
    </rPh>
    <phoneticPr fontId="2"/>
  </si>
  <si>
    <t>４　扶養親族及び障がい者に関する適切な証明書の添付が認められない場合、申告にかかわらず、該当者がいないものとして取り扱います。</t>
    <rPh sb="2" eb="4">
      <t>フヨウ</t>
    </rPh>
    <rPh sb="4" eb="6">
      <t>シンゾク</t>
    </rPh>
    <rPh sb="6" eb="7">
      <t>オヨ</t>
    </rPh>
    <rPh sb="8" eb="9">
      <t>ショウ</t>
    </rPh>
    <rPh sb="11" eb="12">
      <t>シャ</t>
    </rPh>
    <rPh sb="13" eb="14">
      <t>カン</t>
    </rPh>
    <rPh sb="16" eb="18">
      <t>テキセツ</t>
    </rPh>
    <rPh sb="19" eb="22">
      <t>ショウメイショ</t>
    </rPh>
    <rPh sb="23" eb="25">
      <t>テンプ</t>
    </rPh>
    <rPh sb="26" eb="27">
      <t>ミト</t>
    </rPh>
    <rPh sb="32" eb="34">
      <t>バアイ</t>
    </rPh>
    <rPh sb="35" eb="37">
      <t>シンコク</t>
    </rPh>
    <rPh sb="44" eb="47">
      <t>ガイトウシャ</t>
    </rPh>
    <rPh sb="56" eb="57">
      <t>ト</t>
    </rPh>
    <rPh sb="58" eb="59">
      <t>アツカ</t>
    </rPh>
    <phoneticPr fontId="2"/>
  </si>
  <si>
    <t>前年レートの年</t>
    <rPh sb="0" eb="2">
      <t>ゼンネン</t>
    </rPh>
    <rPh sb="6" eb="7">
      <t>ネン</t>
    </rPh>
    <phoneticPr fontId="2"/>
  </si>
  <si>
    <t>当年レートの年</t>
    <rPh sb="0" eb="2">
      <t>トウネン</t>
    </rPh>
    <rPh sb="6" eb="7">
      <t>ネン</t>
    </rPh>
    <phoneticPr fontId="2"/>
  </si>
  <si>
    <t>使用するレート</t>
    <rPh sb="0" eb="2">
      <t>シヨウ</t>
    </rPh>
    <phoneticPr fontId="2"/>
  </si>
  <si>
    <t>奨学生本人情報</t>
    <rPh sb="0" eb="3">
      <t>ショウガクセイ</t>
    </rPh>
    <rPh sb="3" eb="5">
      <t>ホンニン</t>
    </rPh>
    <rPh sb="5" eb="7">
      <t>ジョウホウ</t>
    </rPh>
    <phoneticPr fontId="2"/>
  </si>
  <si>
    <t>(4)父母のどちらかが離婚・死別している等で生計維持者が１名の場合は、生計維持者１の欄に入力してください。なお、生計維持者が２名とも１月１日時点で海外に居住しているために日本国内で住民税を課されていない場合には、この申告書１部で、生計維持者２名分の収入（所得）を申告することができます。</t>
    <rPh sb="20" eb="21">
      <t>トウ</t>
    </rPh>
    <rPh sb="22" eb="24">
      <t>セイケイ</t>
    </rPh>
    <rPh sb="24" eb="26">
      <t>イジ</t>
    </rPh>
    <rPh sb="26" eb="27">
      <t>シャ</t>
    </rPh>
    <rPh sb="29" eb="30">
      <t>メイ</t>
    </rPh>
    <rPh sb="42" eb="43">
      <t>ラン</t>
    </rPh>
    <rPh sb="44" eb="46">
      <t>ニュウリョク</t>
    </rPh>
    <rPh sb="56" eb="58">
      <t>セイケイ</t>
    </rPh>
    <rPh sb="58" eb="60">
      <t>イジ</t>
    </rPh>
    <rPh sb="60" eb="61">
      <t>シャ</t>
    </rPh>
    <rPh sb="63" eb="64">
      <t>メイ</t>
    </rPh>
    <rPh sb="67" eb="68">
      <t>ガツ</t>
    </rPh>
    <rPh sb="69" eb="70">
      <t>ニチ</t>
    </rPh>
    <rPh sb="70" eb="72">
      <t>ジテン</t>
    </rPh>
    <rPh sb="73" eb="75">
      <t>カイガイ</t>
    </rPh>
    <rPh sb="76" eb="78">
      <t>キョジュウ</t>
    </rPh>
    <rPh sb="85" eb="87">
      <t>ニホン</t>
    </rPh>
    <rPh sb="87" eb="89">
      <t>コクナイ</t>
    </rPh>
    <rPh sb="90" eb="93">
      <t>ジュウミンゼイ</t>
    </rPh>
    <rPh sb="94" eb="95">
      <t>カ</t>
    </rPh>
    <rPh sb="101" eb="103">
      <t>バアイ</t>
    </rPh>
    <rPh sb="112" eb="113">
      <t>ブ</t>
    </rPh>
    <rPh sb="115" eb="117">
      <t>セイケイ</t>
    </rPh>
    <rPh sb="117" eb="119">
      <t>イジ</t>
    </rPh>
    <rPh sb="119" eb="120">
      <t>シャ</t>
    </rPh>
    <rPh sb="121" eb="123">
      <t>メイブン</t>
    </rPh>
    <rPh sb="124" eb="126">
      <t>シュウニュウ</t>
    </rPh>
    <rPh sb="127" eb="129">
      <t>ショトク</t>
    </rPh>
    <rPh sb="131" eb="133">
      <t>シンコク</t>
    </rPh>
    <phoneticPr fontId="2"/>
  </si>
  <si>
    <t>12.11で「はい」を選択した場合のみ出現します。基本的に「はい」を選択してください。本人の両親がいずれも死去している場合等で、父母でない方が生計維持者である場合のみ、配偶者がいる場合は「いいえ」を選択してください。</t>
    <phoneticPr fontId="2"/>
  </si>
  <si>
    <t>※証明書が不足している場合は、改めてご提出いただきます。また、当申告書の内容について、連絡をする場合があります。</t>
    <rPh sb="1" eb="4">
      <t>ショウメイショ</t>
    </rPh>
    <rPh sb="5" eb="7">
      <t>フソク</t>
    </rPh>
    <rPh sb="11" eb="13">
      <t>バアイ</t>
    </rPh>
    <rPh sb="15" eb="16">
      <t>アラタ</t>
    </rPh>
    <rPh sb="19" eb="21">
      <t>テイシュツ</t>
    </rPh>
    <rPh sb="31" eb="32">
      <t>トウ</t>
    </rPh>
    <rPh sb="32" eb="34">
      <t>シンコク</t>
    </rPh>
    <rPh sb="34" eb="35">
      <t>ショ</t>
    </rPh>
    <rPh sb="36" eb="38">
      <t>ナイヨウ</t>
    </rPh>
    <rPh sb="43" eb="45">
      <t>レンラク</t>
    </rPh>
    <rPh sb="48" eb="50">
      <t>バアイ</t>
    </rPh>
    <phoneticPr fontId="2"/>
  </si>
  <si>
    <t>(3)本人やいずれかの生計維持者がマイナンバーを提出できる場合は、その人のマイナンバーは提出する必要があります。本人及び生計維持者２がマイナンバーを提出済で、生計維持者１のみが１月１日時点で海外に居住しておりマイナンバーを提出できていない場合、生計維持者１については本申告書を提出します。</t>
    <rPh sb="35" eb="36">
      <t>ヒト</t>
    </rPh>
    <phoneticPr fontId="2"/>
  </si>
  <si>
    <r>
      <t>　以下の</t>
    </r>
    <r>
      <rPr>
        <sz val="11"/>
        <rFont val="ＭＳ Ｐゴシック"/>
        <family val="3"/>
        <charset val="128"/>
        <scheme val="minor"/>
      </rPr>
      <t>奨学生</t>
    </r>
    <r>
      <rPr>
        <sz val="11"/>
        <rFont val="ＭＳ Ｐゴシック"/>
        <family val="2"/>
        <scheme val="minor"/>
      </rPr>
      <t>の適</t>
    </r>
    <r>
      <rPr>
        <sz val="11"/>
        <rFont val="ＭＳ Ｐゴシック"/>
        <family val="3"/>
        <charset val="128"/>
        <scheme val="minor"/>
      </rPr>
      <t>格認定（家計）</t>
    </r>
    <r>
      <rPr>
        <sz val="11"/>
        <rFont val="ＭＳ Ｐゴシック"/>
        <family val="2"/>
        <scheme val="minor"/>
      </rPr>
      <t>に際して、収入・所得等の情報を提出すべき者が１月１日時点で日本国外に居住しているため、その収入・所得等の情報を申告します。</t>
    </r>
    <rPh sb="1" eb="3">
      <t>イカ</t>
    </rPh>
    <rPh sb="4" eb="7">
      <t>ショウガクセイ</t>
    </rPh>
    <rPh sb="8" eb="10">
      <t>テキカク</t>
    </rPh>
    <rPh sb="10" eb="12">
      <t>ニンテイ</t>
    </rPh>
    <rPh sb="13" eb="15">
      <t>カケイ</t>
    </rPh>
    <rPh sb="17" eb="18">
      <t>サイ</t>
    </rPh>
    <rPh sb="21" eb="23">
      <t>シュウニュウ</t>
    </rPh>
    <rPh sb="24" eb="26">
      <t>ショトク</t>
    </rPh>
    <rPh sb="26" eb="27">
      <t>トウ</t>
    </rPh>
    <rPh sb="28" eb="30">
      <t>ジョウホウ</t>
    </rPh>
    <rPh sb="31" eb="33">
      <t>テイシュツ</t>
    </rPh>
    <rPh sb="36" eb="37">
      <t>シャ</t>
    </rPh>
    <rPh sb="39" eb="40">
      <t>ガツ</t>
    </rPh>
    <rPh sb="41" eb="42">
      <t>ニチ</t>
    </rPh>
    <rPh sb="42" eb="44">
      <t>ジテン</t>
    </rPh>
    <rPh sb="45" eb="47">
      <t>ニホン</t>
    </rPh>
    <rPh sb="47" eb="49">
      <t>コクガイ</t>
    </rPh>
    <rPh sb="50" eb="52">
      <t>キョジュウ</t>
    </rPh>
    <rPh sb="61" eb="63">
      <t>シュウニュウ</t>
    </rPh>
    <rPh sb="64" eb="66">
      <t>ショトク</t>
    </rPh>
    <rPh sb="66" eb="67">
      <t>トウ</t>
    </rPh>
    <rPh sb="68" eb="70">
      <t>ジョウホウ</t>
    </rPh>
    <rPh sb="71" eb="73">
      <t>シンコク</t>
    </rPh>
    <phoneticPr fontId="2"/>
  </si>
  <si>
    <r>
      <t>奨学生</t>
    </r>
    <r>
      <rPr>
        <sz val="11"/>
        <rFont val="ＭＳ Ｐゴシック"/>
        <family val="2"/>
        <scheme val="minor"/>
      </rPr>
      <t>番号</t>
    </r>
    <rPh sb="0" eb="3">
      <t>ショウガクセイ</t>
    </rPh>
    <rPh sb="3" eb="5">
      <t>バンゴウ</t>
    </rPh>
    <phoneticPr fontId="2"/>
  </si>
  <si>
    <r>
      <t>奨学生</t>
    </r>
    <r>
      <rPr>
        <sz val="11"/>
        <rFont val="ＭＳ Ｐゴシック"/>
        <family val="2"/>
        <scheme val="minor"/>
      </rPr>
      <t>本人氏名</t>
    </r>
    <rPh sb="0" eb="3">
      <t>ショウガクセイ</t>
    </rPh>
    <rPh sb="3" eb="5">
      <t>ホンニン</t>
    </rPh>
    <rPh sb="5" eb="7">
      <t>シメイ</t>
    </rPh>
    <phoneticPr fontId="2"/>
  </si>
  <si>
    <r>
      <t>奨学生</t>
    </r>
    <r>
      <rPr>
        <sz val="11"/>
        <rFont val="ＭＳ Ｐゴシック"/>
        <family val="2"/>
        <scheme val="minor"/>
      </rPr>
      <t>本人に収入（所得）がありますか</t>
    </r>
    <rPh sb="0" eb="3">
      <t>ショウガクセイ</t>
    </rPh>
    <rPh sb="3" eb="5">
      <t>ホンニン</t>
    </rPh>
    <rPh sb="6" eb="8">
      <t>シュウニュウ</t>
    </rPh>
    <rPh sb="9" eb="11">
      <t>ショトク</t>
    </rPh>
    <phoneticPr fontId="2"/>
  </si>
  <si>
    <r>
      <t>　配偶者は生計維持者２ですか</t>
    </r>
    <r>
      <rPr>
        <sz val="6"/>
        <rFont val="ＭＳ Ｐゴシック"/>
        <family val="3"/>
        <charset val="128"/>
        <scheme val="minor"/>
      </rPr>
      <t>※</t>
    </r>
    <rPh sb="1" eb="4">
      <t>ハイグウシャ</t>
    </rPh>
    <rPh sb="5" eb="7">
      <t>セイケイ</t>
    </rPh>
    <rPh sb="7" eb="9">
      <t>イジ</t>
    </rPh>
    <rPh sb="9" eb="10">
      <t>シャ</t>
    </rPh>
    <phoneticPr fontId="2"/>
  </si>
  <si>
    <t>18.～29.生計維持者それぞれ（生計維持者２がおらず、生計維持者１に配偶者がいる場合は、加えて配偶者）について、給与収入、公的年金等の老齢年金の収入、それ以外の所得のそれぞれの通貨・金額を入力します。いずれも、適格認定（家計）の前年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19">
      <t>セイケイ</t>
    </rPh>
    <rPh sb="19" eb="21">
      <t>イジ</t>
    </rPh>
    <rPh sb="21" eb="22">
      <t>シャ</t>
    </rPh>
    <rPh sb="28" eb="30">
      <t>セイケイ</t>
    </rPh>
    <rPh sb="30" eb="32">
      <t>イジ</t>
    </rPh>
    <rPh sb="32" eb="33">
      <t>シャ</t>
    </rPh>
    <rPh sb="35" eb="38">
      <t>ハイグウシャ</t>
    </rPh>
    <rPh sb="41" eb="43">
      <t>バアイ</t>
    </rPh>
    <rPh sb="45" eb="46">
      <t>クワ</t>
    </rPh>
    <rPh sb="48" eb="51">
      <t>ハイグウシャ</t>
    </rPh>
    <rPh sb="57" eb="59">
      <t>キュウヨ</t>
    </rPh>
    <rPh sb="59" eb="61">
      <t>シュウニュウ</t>
    </rPh>
    <rPh sb="62" eb="64">
      <t>コウテキ</t>
    </rPh>
    <rPh sb="64" eb="66">
      <t>ネンキン</t>
    </rPh>
    <rPh sb="66" eb="67">
      <t>トウ</t>
    </rPh>
    <rPh sb="68" eb="70">
      <t>ロウレイ</t>
    </rPh>
    <rPh sb="70" eb="72">
      <t>ネンキン</t>
    </rPh>
    <rPh sb="73" eb="75">
      <t>シュウニュウ</t>
    </rPh>
    <rPh sb="78" eb="80">
      <t>イガイ</t>
    </rPh>
    <rPh sb="81" eb="83">
      <t>ショトク</t>
    </rPh>
    <rPh sb="89" eb="91">
      <t>ツウカ</t>
    </rPh>
    <rPh sb="92" eb="94">
      <t>キンガク</t>
    </rPh>
    <rPh sb="95" eb="97">
      <t>ニュウリョク</t>
    </rPh>
    <rPh sb="106" eb="108">
      <t>テキカク</t>
    </rPh>
    <rPh sb="108" eb="110">
      <t>ニンテイ</t>
    </rPh>
    <rPh sb="111" eb="113">
      <t>カケイ</t>
    </rPh>
    <rPh sb="115" eb="117">
      <t>ゼンネン</t>
    </rPh>
    <rPh sb="118" eb="119">
      <t>ガツ</t>
    </rPh>
    <rPh sb="120" eb="121">
      <t>ニチ</t>
    </rPh>
    <rPh sb="124" eb="125">
      <t>ガツ</t>
    </rPh>
    <rPh sb="127" eb="128">
      <t>ニチ</t>
    </rPh>
    <rPh sb="129" eb="130">
      <t>エ</t>
    </rPh>
    <rPh sb="131" eb="133">
      <t>シュウニュウ</t>
    </rPh>
    <rPh sb="134" eb="136">
      <t>ショトク</t>
    </rPh>
    <rPh sb="138" eb="140">
      <t>ガッサン</t>
    </rPh>
    <rPh sb="140" eb="141">
      <t>ガク</t>
    </rPh>
    <rPh sb="153" eb="155">
      <t>ゲツブン</t>
    </rPh>
    <rPh sb="156" eb="158">
      <t>テイシュツ</t>
    </rPh>
    <rPh sb="159" eb="161">
      <t>コンナン</t>
    </rPh>
    <rPh sb="162" eb="164">
      <t>バアイ</t>
    </rPh>
    <rPh sb="168" eb="169">
      <t>ガツ</t>
    </rPh>
    <rPh sb="172" eb="174">
      <t>ガツブン</t>
    </rPh>
    <rPh sb="175" eb="177">
      <t>シュウニュウ</t>
    </rPh>
    <rPh sb="178" eb="180">
      <t>ショトク</t>
    </rPh>
    <rPh sb="182" eb="184">
      <t>ガッサン</t>
    </rPh>
    <rPh sb="184" eb="185">
      <t>ガク</t>
    </rPh>
    <rPh sb="187" eb="188">
      <t>バイ</t>
    </rPh>
    <rPh sb="189" eb="191">
      <t>ニュウリョク</t>
    </rPh>
    <rPh sb="195" eb="196">
      <t>ガツ</t>
    </rPh>
    <rPh sb="199" eb="201">
      <t>ガツブン</t>
    </rPh>
    <rPh sb="215" eb="216">
      <t>カ</t>
    </rPh>
    <rPh sb="228" eb="230">
      <t>キュウヨ</t>
    </rPh>
    <rPh sb="233" eb="235">
      <t>ショトク</t>
    </rPh>
    <rPh sb="236" eb="238">
      <t>ジギョウ</t>
    </rPh>
    <rPh sb="238" eb="240">
      <t>ショトク</t>
    </rPh>
    <rPh sb="241" eb="244">
      <t>フドウサン</t>
    </rPh>
    <rPh sb="244" eb="246">
      <t>ショトク</t>
    </rPh>
    <rPh sb="247" eb="249">
      <t>ジョウト</t>
    </rPh>
    <rPh sb="249" eb="251">
      <t>ショトク</t>
    </rPh>
    <rPh sb="252" eb="254">
      <t>ハイトウ</t>
    </rPh>
    <rPh sb="254" eb="256">
      <t>ショトク</t>
    </rPh>
    <rPh sb="256" eb="257">
      <t>トウ</t>
    </rPh>
    <rPh sb="259" eb="261">
      <t>キュウヨ</t>
    </rPh>
    <rPh sb="261" eb="263">
      <t>シュウニュウ</t>
    </rPh>
    <rPh sb="263" eb="265">
      <t>キンガク</t>
    </rPh>
    <rPh sb="266" eb="267">
      <t>フク</t>
    </rPh>
    <rPh sb="281" eb="283">
      <t>コウテキ</t>
    </rPh>
    <rPh sb="283" eb="285">
      <t>ネンキン</t>
    </rPh>
    <rPh sb="285" eb="286">
      <t>トウ</t>
    </rPh>
    <rPh sb="288" eb="290">
      <t>ロウレイ</t>
    </rPh>
    <rPh sb="290" eb="292">
      <t>ネンキン</t>
    </rPh>
    <rPh sb="293" eb="294">
      <t>サ</t>
    </rPh>
    <rPh sb="298" eb="300">
      <t>イゾク</t>
    </rPh>
    <rPh sb="300" eb="302">
      <t>ネンキン</t>
    </rPh>
    <rPh sb="303" eb="305">
      <t>ショウガイ</t>
    </rPh>
    <rPh sb="305" eb="307">
      <t>ネンキン</t>
    </rPh>
    <rPh sb="311" eb="313">
      <t>セイド</t>
    </rPh>
    <rPh sb="314" eb="315">
      <t>フク</t>
    </rPh>
    <rPh sb="323" eb="325">
      <t>キュウヨ</t>
    </rPh>
    <rPh sb="326" eb="328">
      <t>ネンキン</t>
    </rPh>
    <rPh sb="328" eb="330">
      <t>イガイ</t>
    </rPh>
    <rPh sb="331" eb="333">
      <t>ショトク</t>
    </rPh>
    <rPh sb="337" eb="339">
      <t>ジギョウ</t>
    </rPh>
    <rPh sb="339" eb="341">
      <t>ショトク</t>
    </rPh>
    <rPh sb="342" eb="345">
      <t>フドウサン</t>
    </rPh>
    <rPh sb="345" eb="347">
      <t>ショトク</t>
    </rPh>
    <rPh sb="348" eb="350">
      <t>ジョウト</t>
    </rPh>
    <rPh sb="350" eb="352">
      <t>ショトク</t>
    </rPh>
    <rPh sb="353" eb="355">
      <t>ハイトウ</t>
    </rPh>
    <rPh sb="355" eb="357">
      <t>ショトク</t>
    </rPh>
    <rPh sb="357" eb="358">
      <t>トウ</t>
    </rPh>
    <rPh sb="359" eb="361">
      <t>ゴウケイ</t>
    </rPh>
    <rPh sb="361" eb="362">
      <t>ガク</t>
    </rPh>
    <rPh sb="363" eb="365">
      <t>ニュウリョク</t>
    </rPh>
    <phoneticPr fontId="2"/>
  </si>
  <si>
    <r>
      <t>生計維持者の扶養の情報</t>
    </r>
    <r>
      <rPr>
        <b/>
        <sz val="8"/>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</si>
  <si>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r>
      <t>署名日　</t>
    </r>
    <r>
      <rPr>
        <sz val="11"/>
        <rFont val="Kunstler Script"/>
        <family val="4"/>
      </rPr>
      <t>30/06/2019</t>
    </r>
    <rPh sb="0" eb="2">
      <t>ショメイ</t>
    </rPh>
    <rPh sb="2" eb="3">
      <t>ヒ</t>
    </rPh>
    <phoneticPr fontId="2"/>
  </si>
  <si>
    <r>
      <t>署名日　</t>
    </r>
    <r>
      <rPr>
        <sz val="11"/>
        <rFont val="HGS行書体"/>
        <family val="4"/>
        <charset val="128"/>
      </rPr>
      <t>2019年６月30日</t>
    </r>
    <rPh sb="0" eb="2">
      <t>ショメイ</t>
    </rPh>
    <rPh sb="2" eb="3">
      <t>ヒ</t>
    </rPh>
    <rPh sb="8" eb="9">
      <t>ネン</t>
    </rPh>
    <rPh sb="10" eb="11">
      <t>ガツ</t>
    </rPh>
    <rPh sb="13" eb="14">
      <t>ニチ</t>
    </rPh>
    <phoneticPr fontId="2"/>
  </si>
  <si>
    <t>　　なお、期限までにご提出いただけない場合、給付奨学金の支給が遅れるまたは停止されることがあります。</t>
    <rPh sb="22" eb="24">
      <t>キュウフ</t>
    </rPh>
    <rPh sb="24" eb="27">
      <t>ショウガクキン</t>
    </rPh>
    <rPh sb="28" eb="30">
      <t>シキュウ</t>
    </rPh>
    <rPh sb="31" eb="32">
      <t>オク</t>
    </rPh>
    <rPh sb="37" eb="39">
      <t>テイシ</t>
    </rPh>
    <phoneticPr fontId="2"/>
  </si>
  <si>
    <t>　以下の申込者の奨学金の申込に際して、収入・所得等の情報を提出すべき者が１月１日時点で日本国外に居住しているため、その収入・所得等の情報を申告します。</t>
    <rPh sb="1" eb="3">
      <t>イカ</t>
    </rPh>
    <rPh sb="4" eb="6">
      <t>モウシコミ</t>
    </rPh>
    <rPh sb="6" eb="7">
      <t>シャ</t>
    </rPh>
    <rPh sb="8" eb="11">
      <t>ショウガクキン</t>
    </rPh>
    <rPh sb="12" eb="14">
      <t>モウシコミ</t>
    </rPh>
    <rPh sb="15" eb="16">
      <t>サイ</t>
    </rPh>
    <rPh sb="19" eb="21">
      <t>シュウニュウ</t>
    </rPh>
    <rPh sb="22" eb="24">
      <t>ショトク</t>
    </rPh>
    <rPh sb="24" eb="25">
      <t>トウ</t>
    </rPh>
    <rPh sb="26" eb="28">
      <t>ジョウホウ</t>
    </rPh>
    <rPh sb="29" eb="31">
      <t>テイシュツ</t>
    </rPh>
    <rPh sb="34" eb="35">
      <t>シャ</t>
    </rPh>
    <rPh sb="37" eb="38">
      <t>ガツ</t>
    </rPh>
    <rPh sb="39" eb="40">
      <t>ニチ</t>
    </rPh>
    <rPh sb="40" eb="42">
      <t>ジテン</t>
    </rPh>
    <rPh sb="43" eb="45">
      <t>ニホン</t>
    </rPh>
    <rPh sb="45" eb="47">
      <t>コクガイ</t>
    </rPh>
    <rPh sb="48" eb="50">
      <t>キョジュウ</t>
    </rPh>
    <rPh sb="59" eb="61">
      <t>シュウニュウ</t>
    </rPh>
    <rPh sb="62" eb="64">
      <t>ショトク</t>
    </rPh>
    <rPh sb="64" eb="65">
      <t>トウ</t>
    </rPh>
    <rPh sb="66" eb="68">
      <t>ジョウホウ</t>
    </rPh>
    <rPh sb="69" eb="71">
      <t>シンコク</t>
    </rPh>
    <phoneticPr fontId="2"/>
  </si>
  <si>
    <t>（ yyyy / m / d ）</t>
    <phoneticPr fontId="2"/>
  </si>
  <si>
    <t>受付番号</t>
    <rPh sb="0" eb="2">
      <t>ウケツケ</t>
    </rPh>
    <rPh sb="2" eb="4">
      <t>バンゴウ</t>
    </rPh>
    <phoneticPr fontId="2"/>
  </si>
  <si>
    <t>－</t>
    <phoneticPr fontId="2"/>
  </si>
  <si>
    <t>申込者本人氏名</t>
    <rPh sb="0" eb="2">
      <t>モウシコミ</t>
    </rPh>
    <rPh sb="2" eb="3">
      <t>シャ</t>
    </rPh>
    <rPh sb="3" eb="5">
      <t>ホンニン</t>
    </rPh>
    <rPh sb="5" eb="7">
      <t>シメイ</t>
    </rPh>
    <phoneticPr fontId="2"/>
  </si>
  <si>
    <t>機構　太郎</t>
    <phoneticPr fontId="2"/>
  </si>
  <si>
    <t>機構　父</t>
    <phoneticPr fontId="2"/>
  </si>
  <si>
    <t>（ yyyy / m / d ）</t>
    <phoneticPr fontId="2"/>
  </si>
  <si>
    <t>機構　母</t>
    <phoneticPr fontId="2"/>
  </si>
  <si>
    <t>申込者本人情報</t>
    <rPh sb="0" eb="2">
      <t>モウシコミ</t>
    </rPh>
    <rPh sb="2" eb="3">
      <t>シャ</t>
    </rPh>
    <rPh sb="3" eb="5">
      <t>ホンニン</t>
    </rPh>
    <rPh sb="5" eb="7">
      <t>ジョウホウ</t>
    </rPh>
    <phoneticPr fontId="2"/>
  </si>
  <si>
    <t>01</t>
    <phoneticPr fontId="2"/>
  </si>
  <si>
    <t>02</t>
    <phoneticPr fontId="2"/>
  </si>
  <si>
    <t>03</t>
    <phoneticPr fontId="2"/>
  </si>
  <si>
    <t>04</t>
    <phoneticPr fontId="2"/>
  </si>
  <si>
    <t>○</t>
    <phoneticPr fontId="2"/>
  </si>
  <si>
    <t>05</t>
    <phoneticPr fontId="2"/>
  </si>
  <si>
    <t>申込者本人に収入（所得）がありますか</t>
    <rPh sb="0" eb="2">
      <t>モウシコミ</t>
    </rPh>
    <rPh sb="2" eb="3">
      <t>シャ</t>
    </rPh>
    <rPh sb="3" eb="5">
      <t>ホンニン</t>
    </rPh>
    <rPh sb="6" eb="8">
      <t>シュウニュウ</t>
    </rPh>
    <rPh sb="9" eb="11">
      <t>ショトク</t>
    </rPh>
    <phoneticPr fontId="2"/>
  </si>
  <si>
    <t>配偶者の所得に関するもの</t>
    <phoneticPr fontId="2"/>
  </si>
  <si>
    <t>06</t>
    <phoneticPr fontId="2"/>
  </si>
  <si>
    <t>世帯構成に関するもの</t>
    <phoneticPr fontId="2"/>
  </si>
  <si>
    <t>07</t>
    <phoneticPr fontId="2"/>
  </si>
  <si>
    <t>ひとり親世帯に関するもの</t>
    <phoneticPr fontId="2"/>
  </si>
  <si>
    <t>08</t>
    <phoneticPr fontId="2"/>
  </si>
  <si>
    <t>障がい者に関するもの</t>
    <phoneticPr fontId="2"/>
  </si>
  <si>
    <t>09</t>
    <phoneticPr fontId="2"/>
  </si>
  <si>
    <t>10</t>
    <phoneticPr fontId="2"/>
  </si>
  <si>
    <t>16</t>
    <phoneticPr fontId="2"/>
  </si>
  <si>
    <t>11</t>
    <phoneticPr fontId="2"/>
  </si>
  <si>
    <t>12</t>
    <phoneticPr fontId="2"/>
  </si>
  <si>
    <t>13</t>
    <phoneticPr fontId="2"/>
  </si>
  <si>
    <t>14</t>
    <phoneticPr fontId="2"/>
  </si>
  <si>
    <t>17</t>
    <phoneticPr fontId="2"/>
  </si>
  <si>
    <t>15</t>
    <phoneticPr fontId="2"/>
  </si>
  <si>
    <t>18</t>
    <phoneticPr fontId="2"/>
  </si>
  <si>
    <t>24</t>
    <phoneticPr fontId="2"/>
  </si>
  <si>
    <t>19</t>
    <phoneticPr fontId="2"/>
  </si>
  <si>
    <t>25</t>
    <phoneticPr fontId="2"/>
  </si>
  <si>
    <t>20</t>
    <phoneticPr fontId="2"/>
  </si>
  <si>
    <t>26</t>
    <phoneticPr fontId="2"/>
  </si>
  <si>
    <t>21</t>
    <phoneticPr fontId="2"/>
  </si>
  <si>
    <t>27</t>
    <phoneticPr fontId="2"/>
  </si>
  <si>
    <t>22</t>
    <phoneticPr fontId="2"/>
  </si>
  <si>
    <t>28</t>
    <phoneticPr fontId="2"/>
  </si>
  <si>
    <t>23</t>
    <phoneticPr fontId="2"/>
  </si>
  <si>
    <t>29</t>
    <phoneticPr fontId="2"/>
  </si>
  <si>
    <t>30</t>
    <phoneticPr fontId="2"/>
  </si>
  <si>
    <t>39</t>
    <phoneticPr fontId="2"/>
  </si>
  <si>
    <t>31</t>
    <phoneticPr fontId="2"/>
  </si>
  <si>
    <t>40</t>
    <phoneticPr fontId="2"/>
  </si>
  <si>
    <t>32</t>
    <phoneticPr fontId="2"/>
  </si>
  <si>
    <t>41</t>
    <phoneticPr fontId="2"/>
  </si>
  <si>
    <t>33</t>
    <phoneticPr fontId="2"/>
  </si>
  <si>
    <t>42</t>
    <phoneticPr fontId="2"/>
  </si>
  <si>
    <t>34</t>
    <phoneticPr fontId="2"/>
  </si>
  <si>
    <t>43</t>
    <phoneticPr fontId="2"/>
  </si>
  <si>
    <t>35</t>
    <phoneticPr fontId="2"/>
  </si>
  <si>
    <t>44</t>
    <phoneticPr fontId="2"/>
  </si>
  <si>
    <t>36</t>
    <phoneticPr fontId="2"/>
  </si>
  <si>
    <t>45</t>
    <phoneticPr fontId="2"/>
  </si>
  <si>
    <t>37</t>
    <phoneticPr fontId="2"/>
  </si>
  <si>
    <t>46</t>
    <phoneticPr fontId="2"/>
  </si>
  <si>
    <t>38</t>
    <phoneticPr fontId="2"/>
  </si>
  <si>
    <t>47</t>
    <phoneticPr fontId="2"/>
  </si>
  <si>
    <t>A</t>
    <phoneticPr fontId="2"/>
  </si>
  <si>
    <t>B</t>
    <phoneticPr fontId="2"/>
  </si>
  <si>
    <t>　C-1</t>
    <phoneticPr fontId="2"/>
  </si>
  <si>
    <t>　C-2</t>
    <phoneticPr fontId="2"/>
  </si>
  <si>
    <t>【経済基準の適格認定】海外居住者のための収入等申告書の記入例</t>
    <rPh sb="1" eb="3">
      <t>ケイザイ</t>
    </rPh>
    <rPh sb="3" eb="5">
      <t>キジュン</t>
    </rPh>
    <rPh sb="6" eb="8">
      <t>テキカク</t>
    </rPh>
    <rPh sb="8" eb="10">
      <t>ニンテイ</t>
    </rPh>
    <rPh sb="11" eb="13">
      <t>カイガイ</t>
    </rPh>
    <rPh sb="13" eb="16">
      <t>キョジュウシャ</t>
    </rPh>
    <rPh sb="20" eb="22">
      <t>シュウニュウ</t>
    </rPh>
    <rPh sb="22" eb="23">
      <t>トウ</t>
    </rPh>
    <rPh sb="23" eb="25">
      <t>シンコク</t>
    </rPh>
    <rPh sb="25" eb="26">
      <t>ショ</t>
    </rPh>
    <rPh sb="27" eb="29">
      <t>キニュウ</t>
    </rPh>
    <rPh sb="29" eb="30">
      <t>レイ</t>
    </rPh>
    <phoneticPr fontId="2"/>
  </si>
  <si>
    <t>【予約採用・定期採用の申込み】海外居住者のための収入等申告書の記入例</t>
    <rPh sb="1" eb="3">
      <t>ヨヤク</t>
    </rPh>
    <rPh sb="3" eb="5">
      <t>サイヨウ</t>
    </rPh>
    <rPh sb="6" eb="8">
      <t>テイキ</t>
    </rPh>
    <rPh sb="8" eb="10">
      <t>サイヨウ</t>
    </rPh>
    <rPh sb="11" eb="13">
      <t>モウシコ</t>
    </rPh>
    <rPh sb="15" eb="17">
      <t>カイガイ</t>
    </rPh>
    <rPh sb="17" eb="20">
      <t>キョジュウシャ</t>
    </rPh>
    <rPh sb="24" eb="26">
      <t>シュウニュウ</t>
    </rPh>
    <rPh sb="26" eb="27">
      <t>トウ</t>
    </rPh>
    <rPh sb="27" eb="29">
      <t>シンコク</t>
    </rPh>
    <rPh sb="29" eb="30">
      <t>ショ</t>
    </rPh>
    <rPh sb="31" eb="33">
      <t>キニュウ</t>
    </rPh>
    <rPh sb="33" eb="34">
      <t>レイ</t>
    </rPh>
    <phoneticPr fontId="2"/>
  </si>
  <si>
    <t>Ver.2.1</t>
    <phoneticPr fontId="2"/>
  </si>
  <si>
    <t>○</t>
  </si>
  <si>
    <t>JPY</t>
  </si>
  <si>
    <t/>
  </si>
  <si>
    <t>生計維持者２</t>
  </si>
  <si>
    <t>　※申込者の父母が健在である場合、それぞれが生計維持者となりますので、「はい」を選択してください。</t>
  </si>
  <si>
    <t>AUD</t>
  </si>
  <si>
    <t>　※奨学生の父母が健在である場合、それぞれが生計維持者となりますので、「はい」を選択してください。</t>
  </si>
  <si>
    <t>2.60</t>
  </si>
  <si>
    <t>更新履歴</t>
    <rPh sb="0" eb="2">
      <t>コウシン</t>
    </rPh>
    <rPh sb="2" eb="4">
      <t>リレキ</t>
    </rPh>
    <phoneticPr fontId="2"/>
  </si>
  <si>
    <t>公開用に作成</t>
    <rPh sb="0" eb="3">
      <t>コウカイヨウ</t>
    </rPh>
    <rPh sb="4" eb="6">
      <t>サクセイ</t>
    </rPh>
    <phoneticPr fontId="2"/>
  </si>
  <si>
    <t>報告省令レートを更新</t>
    <rPh sb="0" eb="2">
      <t>ホウコク</t>
    </rPh>
    <rPh sb="2" eb="4">
      <t>ショウレイ</t>
    </rPh>
    <rPh sb="8" eb="10">
      <t>コウシン</t>
    </rPh>
    <phoneticPr fontId="2"/>
  </si>
  <si>
    <t>適格認定（経済）に対応</t>
    <rPh sb="0" eb="2">
      <t>テキカク</t>
    </rPh>
    <rPh sb="2" eb="4">
      <t>ニンテイ</t>
    </rPh>
    <rPh sb="5" eb="7">
      <t>ケイザイ</t>
    </rPh>
    <rPh sb="9" eb="11">
      <t>タイオウ</t>
    </rPh>
    <phoneticPr fontId="2"/>
  </si>
  <si>
    <t>税制改正対応、報告省令レートを更新、バージョンを日付に修正</t>
    <rPh sb="0" eb="2">
      <t>ゼイセイ</t>
    </rPh>
    <rPh sb="2" eb="4">
      <t>カイセイ</t>
    </rPh>
    <rPh sb="4" eb="6">
      <t>タイオウ</t>
    </rPh>
    <rPh sb="7" eb="9">
      <t>ホウコク</t>
    </rPh>
    <rPh sb="9" eb="11">
      <t>ショウレイ</t>
    </rPh>
    <rPh sb="15" eb="17">
      <t>コウシン</t>
    </rPh>
    <rPh sb="24" eb="26">
      <t>ヒヅケ</t>
    </rPh>
    <rPh sb="27" eb="29">
      <t>シュウセイ</t>
    </rPh>
    <phoneticPr fontId="2"/>
  </si>
  <si>
    <t>↓貼付枠（前年の「当年レート」の□内を貼り付け)</t>
    <rPh sb="1" eb="4">
      <t>ハリツケワク</t>
    </rPh>
    <rPh sb="5" eb="7">
      <t>ゼンネン</t>
    </rPh>
    <rPh sb="9" eb="11">
      <t>トウネン</t>
    </rPh>
    <rPh sb="17" eb="18">
      <t>ナイ</t>
    </rPh>
    <rPh sb="19" eb="20">
      <t>ハ</t>
    </rPh>
    <rPh sb="21" eb="22">
      <t>ツ</t>
    </rPh>
    <phoneticPr fontId="2"/>
  </si>
  <si>
    <t>税制改正新旧判定</t>
    <rPh sb="0" eb="2">
      <t>ゼイセイ</t>
    </rPh>
    <rPh sb="2" eb="4">
      <t>カイセイ</t>
    </rPh>
    <rPh sb="4" eb="6">
      <t>シンキュウ</t>
    </rPh>
    <rPh sb="6" eb="8">
      <t>ハンテイ</t>
    </rPh>
    <phoneticPr fontId="1"/>
  </si>
  <si>
    <t>支給額算定基準額</t>
    <rPh sb="0" eb="3">
      <t>シキュウガク</t>
    </rPh>
    <rPh sb="3" eb="5">
      <t>サンテイ</t>
    </rPh>
    <rPh sb="5" eb="8">
      <t>キジュンガク</t>
    </rPh>
    <phoneticPr fontId="2"/>
  </si>
  <si>
    <t>551000未満の給与所得金額</t>
    <rPh sb="6" eb="8">
      <t>ミマン</t>
    </rPh>
    <rPh sb="9" eb="11">
      <t>キュウヨ</t>
    </rPh>
    <rPh sb="11" eb="13">
      <t>ショトク</t>
    </rPh>
    <rPh sb="13" eb="15">
      <t>キンガク</t>
    </rPh>
    <phoneticPr fontId="2"/>
  </si>
  <si>
    <t>給与収入金額-550000</t>
    <rPh sb="0" eb="1">
      <t>キュウヨ</t>
    </rPh>
    <rPh sb="1" eb="3">
      <t>シュウニュウ</t>
    </rPh>
    <rPh sb="3" eb="5">
      <t>キンガク</t>
    </rPh>
    <phoneticPr fontId="2"/>
  </si>
  <si>
    <t>Rounddown(給与収入金額/4000,0)*4000*0.6+100000</t>
    <phoneticPr fontId="2"/>
  </si>
  <si>
    <t>Rounddown(給与収入金額/4000,0)*4000*0.7-80000</t>
    <phoneticPr fontId="2"/>
  </si>
  <si>
    <t>Rounddown(給与収入金額/4000,0)*4000*0.8-440000</t>
    <phoneticPr fontId="2"/>
  </si>
  <si>
    <t>給与収入金額*0.9-1100000</t>
    <rPh sb="0" eb="1">
      <t>キュウヨ</t>
    </rPh>
    <rPh sb="1" eb="3">
      <t>シュウニュウ</t>
    </rPh>
    <rPh sb="3" eb="5">
      <t>キンガク</t>
    </rPh>
    <phoneticPr fontId="2"/>
  </si>
  <si>
    <t>8500000未満の給与所得金額</t>
    <rPh sb="7" eb="9">
      <t>ミマン</t>
    </rPh>
    <rPh sb="10" eb="12">
      <t>キュウヨ</t>
    </rPh>
    <rPh sb="12" eb="14">
      <t>ショトク</t>
    </rPh>
    <rPh sb="14" eb="16">
      <t>キンガク</t>
    </rPh>
    <phoneticPr fontId="2"/>
  </si>
  <si>
    <t>給与収入金額-1950000</t>
    <rPh sb="0" eb="1">
      <t>キュウヨ</t>
    </rPh>
    <rPh sb="1" eb="3">
      <t>シュウニュウ</t>
    </rPh>
    <rPh sb="3" eb="5">
      <t>キンガク</t>
    </rPh>
    <phoneticPr fontId="2"/>
  </si>
  <si>
    <t>8500000以上の給与所得金額</t>
    <rPh sb="7" eb="9">
      <t>イジョウ</t>
    </rPh>
    <rPh sb="10" eb="12">
      <t>キュウヨ</t>
    </rPh>
    <rPh sb="12" eb="14">
      <t>ショトク</t>
    </rPh>
    <rPh sb="14" eb="16">
      <t>キンガク</t>
    </rPh>
    <phoneticPr fontId="2"/>
  </si>
  <si>
    <t>1619000未満の給与所得金額計算</t>
    <rPh sb="7" eb="9">
      <t>ミマン</t>
    </rPh>
    <rPh sb="10" eb="12">
      <t>キュウヨ</t>
    </rPh>
    <rPh sb="12" eb="14">
      <t>ショトク</t>
    </rPh>
    <rPh sb="14" eb="16">
      <t>キンガク</t>
    </rPh>
    <rPh sb="16" eb="18">
      <t>ケイサン</t>
    </rPh>
    <phoneticPr fontId="2"/>
  </si>
  <si>
    <t>1800000未満の給与所得金額計算</t>
    <rPh sb="7" eb="9">
      <t>ミマン</t>
    </rPh>
    <rPh sb="10" eb="12">
      <t>キュウヨ</t>
    </rPh>
    <rPh sb="12" eb="14">
      <t>ショトク</t>
    </rPh>
    <rPh sb="14" eb="16">
      <t>キンガク</t>
    </rPh>
    <rPh sb="16" eb="18">
      <t>ケイサン</t>
    </rPh>
    <phoneticPr fontId="2"/>
  </si>
  <si>
    <t>3600000未満の給与所得金額計算</t>
    <rPh sb="7" eb="9">
      <t>ミマン</t>
    </rPh>
    <rPh sb="10" eb="12">
      <t>キュウヨ</t>
    </rPh>
    <rPh sb="12" eb="14">
      <t>ショトク</t>
    </rPh>
    <rPh sb="14" eb="16">
      <t>キンガク</t>
    </rPh>
    <rPh sb="16" eb="18">
      <t>ケイサン</t>
    </rPh>
    <phoneticPr fontId="2"/>
  </si>
  <si>
    <t>6600000未満の給与所得金額計算</t>
    <rPh sb="7" eb="9">
      <t>ミマン</t>
    </rPh>
    <rPh sb="10" eb="12">
      <t>キュウヨ</t>
    </rPh>
    <rPh sb="12" eb="14">
      <t>ショトク</t>
    </rPh>
    <rPh sb="14" eb="16">
      <t>キンガク</t>
    </rPh>
    <rPh sb="16" eb="18">
      <t>ケイサン</t>
    </rPh>
    <phoneticPr fontId="2"/>
  </si>
  <si>
    <t>8500000未満の給与所得金額計算</t>
    <rPh sb="7" eb="9">
      <t>ミマン</t>
    </rPh>
    <rPh sb="10" eb="12">
      <t>キュウヨ</t>
    </rPh>
    <rPh sb="12" eb="14">
      <t>ショトク</t>
    </rPh>
    <rPh sb="14" eb="16">
      <t>キンガク</t>
    </rPh>
    <rPh sb="16" eb="18">
      <t>ケイサン</t>
    </rPh>
    <phoneticPr fontId="2"/>
  </si>
  <si>
    <t>8500000以上の給与所得金額計算</t>
    <rPh sb="7" eb="9">
      <t>イジョウ</t>
    </rPh>
    <rPh sb="10" eb="12">
      <t>キュウヨ</t>
    </rPh>
    <rPh sb="12" eb="14">
      <t>ショトク</t>
    </rPh>
    <rPh sb="14" eb="16">
      <t>キンガク</t>
    </rPh>
    <rPh sb="16" eb="18">
      <t>ケイサン</t>
    </rPh>
    <phoneticPr fontId="2"/>
  </si>
  <si>
    <t>基礎控除のための給与収入区分１</t>
    <rPh sb="0" eb="2">
      <t>キソ</t>
    </rPh>
    <rPh sb="2" eb="4">
      <t>コウジョ</t>
    </rPh>
    <rPh sb="8" eb="10">
      <t>キュウヨ</t>
    </rPh>
    <rPh sb="10" eb="12">
      <t>シュウニュウ</t>
    </rPh>
    <rPh sb="12" eb="14">
      <t>クブン</t>
    </rPh>
    <phoneticPr fontId="2"/>
  </si>
  <si>
    <t>基礎控除のための給与収入区分２</t>
    <rPh sb="0" eb="2">
      <t>キソ</t>
    </rPh>
    <rPh sb="2" eb="4">
      <t>コウジョ</t>
    </rPh>
    <rPh sb="8" eb="10">
      <t>キュウヨ</t>
    </rPh>
    <rPh sb="10" eb="12">
      <t>シュウニュウ</t>
    </rPh>
    <rPh sb="12" eb="14">
      <t>クブン</t>
    </rPh>
    <phoneticPr fontId="2"/>
  </si>
  <si>
    <t>基礎控除のための給与収入区分３</t>
    <rPh sb="0" eb="2">
      <t>キソ</t>
    </rPh>
    <rPh sb="2" eb="4">
      <t>コウジョ</t>
    </rPh>
    <rPh sb="8" eb="10">
      <t>キュウヨ</t>
    </rPh>
    <rPh sb="10" eb="12">
      <t>シュウニュウ</t>
    </rPh>
    <rPh sb="12" eb="14">
      <t>クブン</t>
    </rPh>
    <phoneticPr fontId="2"/>
  </si>
  <si>
    <t>所得金額調整控除①のための給与所得区分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</si>
  <si>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所得金額調整控除②のための給与所得区分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</si>
  <si>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基礎控除（合計所得金額が 2,400 万円を超え 2,450 万円以下の場合）</t>
    <rPh sb="0" eb="2">
      <t>キソ</t>
    </rPh>
    <rPh sb="2" eb="4">
      <t>コウジョ</t>
    </rPh>
    <rPh sb="36" eb="38">
      <t>バアイ</t>
    </rPh>
    <phoneticPr fontId="2"/>
  </si>
  <si>
    <t>基礎控除（合計所得金額が 2,450 万円を超え 2,500 万円以下の場合）</t>
    <rPh sb="0" eb="2">
      <t>キソ</t>
    </rPh>
    <rPh sb="2" eb="4">
      <t>コウジョ</t>
    </rPh>
    <phoneticPr fontId="2"/>
  </si>
  <si>
    <t>所得金額調整控除Ａ</t>
    <rPh sb="0" eb="2">
      <t>ショトク</t>
    </rPh>
    <rPh sb="2" eb="4">
      <t>キンガク</t>
    </rPh>
    <rPh sb="4" eb="6">
      <t>チョウセイ</t>
    </rPh>
    <rPh sb="6" eb="8">
      <t>コウジョ</t>
    </rPh>
    <phoneticPr fontId="2"/>
  </si>
  <si>
    <t>所得金額調整控除Ｂ</t>
    <rPh sb="0" eb="2">
      <t>ショトク</t>
    </rPh>
    <rPh sb="2" eb="4">
      <t>キンガク</t>
    </rPh>
    <rPh sb="4" eb="6">
      <t>チョウセイ</t>
    </rPh>
    <rPh sb="6" eb="8">
      <t>コウジョ</t>
    </rPh>
    <phoneticPr fontId="2"/>
  </si>
  <si>
    <t>税制改正後の寡婦の表記をひとり親に修正</t>
    <rPh sb="0" eb="2">
      <t>ゼイセイ</t>
    </rPh>
    <rPh sb="2" eb="5">
      <t>カイセイゴ</t>
    </rPh>
    <rPh sb="6" eb="8">
      <t>カフ</t>
    </rPh>
    <rPh sb="9" eb="11">
      <t>ヒョウキ</t>
    </rPh>
    <rPh sb="15" eb="16">
      <t>オヤ</t>
    </rPh>
    <rPh sb="17" eb="19">
      <t>シュウセイ</t>
    </rPh>
    <phoneticPr fontId="2"/>
  </si>
  <si>
    <t>(1)奨学生本人（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適格認定（家計）を実施します。</t>
    <rPh sb="3" eb="6">
      <t>ショウガクセイ</t>
    </rPh>
    <rPh sb="6" eb="8">
      <t>ホンニン</t>
    </rPh>
    <rPh sb="9" eb="11">
      <t>イカ</t>
    </rPh>
    <rPh sb="13" eb="15">
      <t>ホンニン</t>
    </rPh>
    <rPh sb="21" eb="23">
      <t>セイケイ</t>
    </rPh>
    <rPh sb="23" eb="25">
      <t>イジ</t>
    </rPh>
    <rPh sb="25" eb="26">
      <t>シャ</t>
    </rPh>
    <rPh sb="29" eb="30">
      <t>ガツ</t>
    </rPh>
    <rPh sb="31" eb="32">
      <t>ニチ</t>
    </rPh>
    <rPh sb="32" eb="34">
      <t>ジテン</t>
    </rPh>
    <rPh sb="35" eb="37">
      <t>カイガイ</t>
    </rPh>
    <rPh sb="38" eb="40">
      <t>キョジュウ</t>
    </rPh>
    <rPh sb="47" eb="49">
      <t>リユウ</t>
    </rPh>
    <rPh sb="52" eb="54">
      <t>ニホン</t>
    </rPh>
    <rPh sb="54" eb="56">
      <t>コクナイ</t>
    </rPh>
    <rPh sb="57" eb="60">
      <t>ジュウミンゼイ</t>
    </rPh>
    <rPh sb="61" eb="62">
      <t>カ</t>
    </rPh>
    <rPh sb="68" eb="70">
      <t>バアイ</t>
    </rPh>
    <rPh sb="75" eb="77">
      <t>シンコク</t>
    </rPh>
    <rPh sb="77" eb="78">
      <t>ショ</t>
    </rPh>
    <rPh sb="79" eb="81">
      <t>テイシュツ</t>
    </rPh>
    <phoneticPr fontId="2"/>
  </si>
  <si>
    <t>【共通的な事項】</t>
    <rPh sb="1" eb="4">
      <t>キョウツウテキ</t>
    </rPh>
    <rPh sb="5" eb="7">
      <t>ジコウ</t>
    </rPh>
    <phoneticPr fontId="2"/>
  </si>
  <si>
    <t>【項目別の注意事項】</t>
    <phoneticPr fontId="2"/>
  </si>
  <si>
    <t>02.本人がどちらの生計維持者に扶養されているかを選択します。</t>
    <phoneticPr fontId="2"/>
  </si>
  <si>
    <t>03.本人が、所得税法に定める（もしくは、所得税法の定めに該当すると考えられる）障害者であるかを選択します。</t>
    <phoneticPr fontId="2"/>
  </si>
  <si>
    <t>05.収入（所得）は、適格認定（家計）の前年中に、本人に収入があったかどうかを入力してください。</t>
    <phoneticPr fontId="2"/>
  </si>
  <si>
    <t>【添付が必要な証明書】</t>
    <rPh sb="1" eb="3">
      <t>テンプ</t>
    </rPh>
    <rPh sb="4" eb="6">
      <t>ヒツヨウ</t>
    </rPh>
    <rPh sb="7" eb="10">
      <t>ショウメイショ</t>
    </rPh>
    <phoneticPr fontId="2"/>
  </si>
  <si>
    <t>(3)本人やいずれかの生計維持者がマイナンバーを提出できる場合は、その人のマイナンバーは提出する必要があります。本人及び生計維持者２がマイナンバーを提出でき、生計維持者１のみが１月１日時点で海外に居住しておりマイナンバーを提出できない場合、本人と生計維持者２はマイナンバーを提出し、生計維持者１については本申告書を提出します。</t>
    <rPh sb="35" eb="36">
      <t>ヒト</t>
    </rPh>
    <phoneticPr fontId="2"/>
  </si>
  <si>
    <t>(1)奨学金申込者（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奨学金の選考等を実施します。採用された後は、海外で得た収入等がある限り、毎年提出します。</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rPh sb="139" eb="141">
      <t>サイヨウ</t>
    </rPh>
    <rPh sb="144" eb="145">
      <t>アト</t>
    </rPh>
    <rPh sb="147" eb="149">
      <t>カイガイ</t>
    </rPh>
    <rPh sb="150" eb="151">
      <t>エ</t>
    </rPh>
    <rPh sb="152" eb="155">
      <t>シュウニュウトウ</t>
    </rPh>
    <rPh sb="158" eb="159">
      <t>カギ</t>
    </rPh>
    <rPh sb="161" eb="163">
      <t>マイトシ</t>
    </rPh>
    <rPh sb="163" eb="165">
      <t>テイシュツ</t>
    </rPh>
    <phoneticPr fontId="2"/>
  </si>
  <si>
    <t>04.生計維持者との同居欄は、3で「特別の障がい者である」を選択した場合のみ選択が必要です。</t>
    <rPh sb="38" eb="40">
      <t>センタク</t>
    </rPh>
    <rPh sb="41" eb="43">
      <t>ヒツヨウ</t>
    </rPh>
    <phoneticPr fontId="2"/>
  </si>
  <si>
    <t>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t>
    <rPh sb="109" eb="113">
      <t>ショトクキンガク</t>
    </rPh>
    <rPh sb="114" eb="116">
      <t>ニュウリョク</t>
    </rPh>
    <phoneticPr fontId="2"/>
  </si>
  <si>
    <t>15.寡婦（夫）・ひとり親の選択は、11で「いいえ」を選択した場合のみ選択が必要です。</t>
    <rPh sb="3" eb="5">
      <t>カフ</t>
    </rPh>
    <rPh sb="6" eb="7">
      <t>フ</t>
    </rPh>
    <rPh sb="12" eb="13">
      <t>オヤ</t>
    </rPh>
    <rPh sb="14" eb="16">
      <t>センタク</t>
    </rPh>
    <rPh sb="35" eb="37">
      <t>センタク</t>
    </rPh>
    <rPh sb="38" eb="40">
      <t>ヒツヨウ</t>
    </rPh>
    <phoneticPr fontId="2"/>
  </si>
  <si>
    <t>30.～35.・39.～44.ここでは、それぞれの生計維持者が扶養している親族の人数を入力します。「扶養している」とは、ここでは、独立して生計を営めない者の生活を援助することです。また、ここでいう親族とは、配偶者を除く６親等内の血族及び３親等内の姻族を指します。</t>
    <rPh sb="25" eb="27">
      <t>セイケイ</t>
    </rPh>
    <rPh sb="27" eb="29">
      <t>イジ</t>
    </rPh>
    <rPh sb="29" eb="30">
      <t>シャ</t>
    </rPh>
    <rPh sb="31" eb="33">
      <t>フヨウ</t>
    </rPh>
    <rPh sb="37" eb="39">
      <t>シンゾク</t>
    </rPh>
    <rPh sb="40" eb="42">
      <t>ニンズウ</t>
    </rPh>
    <rPh sb="43" eb="45">
      <t>ニュウリョク</t>
    </rPh>
    <rPh sb="50" eb="52">
      <t>フヨウ</t>
    </rPh>
    <rPh sb="65" eb="67">
      <t>ドクリツ</t>
    </rPh>
    <rPh sb="69" eb="71">
      <t>セイケイ</t>
    </rPh>
    <rPh sb="72" eb="73">
      <t>イトナ</t>
    </rPh>
    <rPh sb="76" eb="77">
      <t>シャ</t>
    </rPh>
    <rPh sb="78" eb="80">
      <t>セイカツ</t>
    </rPh>
    <rPh sb="81" eb="83">
      <t>エンジョ</t>
    </rPh>
    <rPh sb="98" eb="100">
      <t>シンゾク</t>
    </rPh>
    <rPh sb="103" eb="106">
      <t>ハイグウシャ</t>
    </rPh>
    <rPh sb="107" eb="108">
      <t>ノゾ</t>
    </rPh>
    <rPh sb="110" eb="112">
      <t>シントウ</t>
    </rPh>
    <rPh sb="112" eb="113">
      <t>ナイ</t>
    </rPh>
    <rPh sb="114" eb="116">
      <t>ケツゾク</t>
    </rPh>
    <rPh sb="116" eb="117">
      <t>オヨ</t>
    </rPh>
    <rPh sb="119" eb="121">
      <t>シントウ</t>
    </rPh>
    <rPh sb="121" eb="122">
      <t>ナイ</t>
    </rPh>
    <rPh sb="123" eb="125">
      <t>インゾク</t>
    </rPh>
    <rPh sb="126" eb="127">
      <t>サ</t>
    </rPh>
    <phoneticPr fontId="2"/>
  </si>
  <si>
    <t>提出する年度（西暦4桁）</t>
    <rPh sb="0" eb="2">
      <t>テイシュツ</t>
    </rPh>
    <rPh sb="4" eb="6">
      <t>ネンド</t>
    </rPh>
    <rPh sb="7" eb="9">
      <t>セイレキ</t>
    </rPh>
    <rPh sb="10" eb="11">
      <t>ケタ</t>
    </rPh>
    <phoneticPr fontId="2"/>
  </si>
  <si>
    <t>○</t>
    <phoneticPr fontId="2"/>
  </si>
  <si>
    <t>05.収入（所得）は、申込区分に基づき申告いただく１年間に、本人に収入があったかどうかを入力してください。</t>
    <rPh sb="11" eb="13">
      <t>モウシコ</t>
    </rPh>
    <rPh sb="13" eb="15">
      <t>クブン</t>
    </rPh>
    <rPh sb="16" eb="17">
      <t>モト</t>
    </rPh>
    <rPh sb="19" eb="21">
      <t>シンコク</t>
    </rPh>
    <rPh sb="26" eb="28">
      <t>ネンカン</t>
    </rPh>
    <phoneticPr fontId="2"/>
  </si>
  <si>
    <t>③生計維持者に扶養親族がいる場合　その親族との関係（親子等）を明らかにする公的な書類（住民票、戸籍謄本、婚姻証明書等に該当する書類等）及びその和訳
④生計維持者がひとり親である場合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4" eb="85">
      <t>オヤ</t>
    </rPh>
    <rPh sb="88" eb="90">
      <t>バアイ</t>
    </rPh>
    <rPh sb="93" eb="94">
      <t>シャ</t>
    </rPh>
    <rPh sb="98" eb="99">
      <t>オヤ</t>
    </rPh>
    <rPh sb="105" eb="106">
      <t>シメ</t>
    </rPh>
    <rPh sb="107" eb="109">
      <t>コウテキ</t>
    </rPh>
    <rPh sb="109" eb="112">
      <t>ショウメイショ</t>
    </rPh>
    <rPh sb="113" eb="115">
      <t>コセキ</t>
    </rPh>
    <rPh sb="115" eb="117">
      <t>トウホン</t>
    </rPh>
    <rPh sb="117" eb="118">
      <t>トウ</t>
    </rPh>
    <rPh sb="119" eb="120">
      <t>オヨ</t>
    </rPh>
    <rPh sb="123" eb="125">
      <t>ワヤク</t>
    </rPh>
    <phoneticPr fontId="3"/>
  </si>
  <si>
    <t>①、②本人、生計維持者あるいは生計維持者の配偶者についてそれぞれの収入（所得）を証明する書類（原則として申込みの前年[春の在学採用のみ前々年]１月～12月分・用意できない場合には10月～12月分）とその和訳
　※居住地が国内、国外に関わらず、全員提出が必要です（マイナンバーを提出済であっても提出ください）。
　※年間を通して無収入である場合には、当該期間において無収入であることを示す公的な証明書が必要です。</t>
    <rPh sb="3" eb="5">
      <t>ホンニン</t>
    </rPh>
    <rPh sb="6" eb="8">
      <t>セイケイ</t>
    </rPh>
    <rPh sb="8" eb="10">
      <t>イジ</t>
    </rPh>
    <rPh sb="10" eb="11">
      <t>シャ</t>
    </rPh>
    <rPh sb="15" eb="17">
      <t>セイケイ</t>
    </rPh>
    <rPh sb="17" eb="19">
      <t>イジ</t>
    </rPh>
    <rPh sb="19" eb="20">
      <t>シャ</t>
    </rPh>
    <rPh sb="21" eb="24">
      <t>ハイグウシャ</t>
    </rPh>
    <rPh sb="33" eb="35">
      <t>シュウニュウ</t>
    </rPh>
    <rPh sb="36" eb="38">
      <t>ショトク</t>
    </rPh>
    <rPh sb="40" eb="42">
      <t>ショウメイ</t>
    </rPh>
    <rPh sb="44" eb="46">
      <t>ショルイ</t>
    </rPh>
    <rPh sb="47" eb="49">
      <t>ゲンソク</t>
    </rPh>
    <rPh sb="52" eb="53">
      <t>モウ</t>
    </rPh>
    <rPh sb="53" eb="54">
      <t>コ</t>
    </rPh>
    <rPh sb="56" eb="58">
      <t>ゼンネン</t>
    </rPh>
    <rPh sb="59" eb="60">
      <t>ハル</t>
    </rPh>
    <rPh sb="61" eb="63">
      <t>ザイガク</t>
    </rPh>
    <rPh sb="63" eb="65">
      <t>サイヨウ</t>
    </rPh>
    <rPh sb="67" eb="69">
      <t>ゼンゼン</t>
    </rPh>
    <rPh sb="69" eb="70">
      <t>ネン</t>
    </rPh>
    <rPh sb="72" eb="73">
      <t>ガツ</t>
    </rPh>
    <rPh sb="76" eb="77">
      <t>ガツ</t>
    </rPh>
    <rPh sb="77" eb="78">
      <t>ブン</t>
    </rPh>
    <rPh sb="79" eb="81">
      <t>ヨウイ</t>
    </rPh>
    <rPh sb="85" eb="87">
      <t>バアイ</t>
    </rPh>
    <rPh sb="91" eb="92">
      <t>ガツ</t>
    </rPh>
    <rPh sb="95" eb="96">
      <t>ガツ</t>
    </rPh>
    <rPh sb="96" eb="97">
      <t>ブン</t>
    </rPh>
    <rPh sb="101" eb="103">
      <t>ワヤク</t>
    </rPh>
    <rPh sb="106" eb="109">
      <t>キョジュウチ</t>
    </rPh>
    <rPh sb="116" eb="117">
      <t>カカ</t>
    </rPh>
    <rPh sb="121" eb="123">
      <t>ゼンイン</t>
    </rPh>
    <rPh sb="123" eb="125">
      <t>テイシュツ</t>
    </rPh>
    <rPh sb="126" eb="128">
      <t>ヒツヨウ</t>
    </rPh>
    <rPh sb="138" eb="140">
      <t>テイシュツ</t>
    </rPh>
    <rPh sb="140" eb="141">
      <t>ズ</t>
    </rPh>
    <rPh sb="146" eb="148">
      <t>テイシュツ</t>
    </rPh>
    <rPh sb="157" eb="159">
      <t>ネンカン</t>
    </rPh>
    <rPh sb="160" eb="161">
      <t>トオ</t>
    </rPh>
    <rPh sb="163" eb="166">
      <t>ムシュウニュウ</t>
    </rPh>
    <rPh sb="169" eb="171">
      <t>バアイ</t>
    </rPh>
    <rPh sb="174" eb="176">
      <t>トウガイ</t>
    </rPh>
    <rPh sb="176" eb="178">
      <t>キカン</t>
    </rPh>
    <rPh sb="182" eb="185">
      <t>ムシュウニュウ</t>
    </rPh>
    <rPh sb="191" eb="192">
      <t>シメ</t>
    </rPh>
    <rPh sb="193" eb="195">
      <t>コウテキ</t>
    </rPh>
    <rPh sb="196" eb="199">
      <t>ショウメイショ</t>
    </rPh>
    <rPh sb="200" eb="202">
      <t>ヒツヨウ</t>
    </rPh>
    <phoneticPr fontId="2"/>
  </si>
  <si>
    <t>⑤本人、生計維持者あるいは生計維持者が扶養している親族に障がい者に該当する方がいる場合　（日本に居住している方）障害者手帳　（日本に居住していない方）障がい者であることを公的に証明する書類及びその和訳</t>
    <rPh sb="1" eb="3">
      <t>ホンニン</t>
    </rPh>
    <rPh sb="4" eb="6">
      <t>セイケイ</t>
    </rPh>
    <rPh sb="6" eb="8">
      <t>イジ</t>
    </rPh>
    <rPh sb="8" eb="9">
      <t>シャ</t>
    </rPh>
    <rPh sb="13" eb="15">
      <t>セイケイ</t>
    </rPh>
    <rPh sb="15" eb="17">
      <t>イジ</t>
    </rPh>
    <rPh sb="17" eb="18">
      <t>シャ</t>
    </rPh>
    <rPh sb="19" eb="21">
      <t>フヨウ</t>
    </rPh>
    <rPh sb="25" eb="27">
      <t>シンゾク</t>
    </rPh>
    <rPh sb="28" eb="29">
      <t>ショウ</t>
    </rPh>
    <rPh sb="31" eb="32">
      <t>シャ</t>
    </rPh>
    <rPh sb="33" eb="35">
      <t>ガイトウ</t>
    </rPh>
    <rPh sb="37" eb="38">
      <t>カタ</t>
    </rPh>
    <rPh sb="41" eb="43">
      <t>バアイ</t>
    </rPh>
    <rPh sb="45" eb="47">
      <t>ニホン</t>
    </rPh>
    <rPh sb="48" eb="50">
      <t>キョジュウ</t>
    </rPh>
    <rPh sb="54" eb="55">
      <t>カタ</t>
    </rPh>
    <rPh sb="56" eb="59">
      <t>ショウガイシャ</t>
    </rPh>
    <rPh sb="59" eb="61">
      <t>テチョウ</t>
    </rPh>
    <rPh sb="63" eb="65">
      <t>ニホン</t>
    </rPh>
    <rPh sb="66" eb="68">
      <t>キョジュウ</t>
    </rPh>
    <rPh sb="73" eb="74">
      <t>カタ</t>
    </rPh>
    <rPh sb="98" eb="100">
      <t>ワヤク</t>
    </rPh>
    <phoneticPr fontId="3"/>
  </si>
  <si>
    <t>　　なお、期限までにご提出いただけない場合、必要な書類がすべて確認できない場合は、奨学金の選考ができず不採用となります。</t>
    <rPh sb="22" eb="24">
      <t>ヒツヨウ</t>
    </rPh>
    <rPh sb="25" eb="27">
      <t>ショルイ</t>
    </rPh>
    <rPh sb="31" eb="33">
      <t>カクニン</t>
    </rPh>
    <rPh sb="37" eb="39">
      <t>バアイ</t>
    </rPh>
    <rPh sb="41" eb="44">
      <t>ショウガクキン</t>
    </rPh>
    <rPh sb="45" eb="47">
      <t>センコウ</t>
    </rPh>
    <rPh sb="51" eb="54">
      <t>フサイヨウ</t>
    </rPh>
    <phoneticPr fontId="2"/>
  </si>
  <si>
    <t>採用時の表記が適格認定のものになっていたのを修正。他言及個所は可変とした</t>
    <rPh sb="0" eb="3">
      <t>サイヨウジ</t>
    </rPh>
    <rPh sb="4" eb="6">
      <t>ヒョウキ</t>
    </rPh>
    <rPh sb="7" eb="11">
      <t>テキカクニンテイ</t>
    </rPh>
    <rPh sb="22" eb="24">
      <t>シュウセイ</t>
    </rPh>
    <rPh sb="25" eb="26">
      <t>ホカ</t>
    </rPh>
    <rPh sb="26" eb="30">
      <t>ゲンキュウカショ</t>
    </rPh>
    <rPh sb="31" eb="33">
      <t>カヘン</t>
    </rPh>
    <phoneticPr fontId="2"/>
  </si>
  <si>
    <t>f～o…特別控除対象配偶者（控除額は所得に応じて変化する。非課税限度に影響しない。）</t>
    <rPh sb="4" eb="6">
      <t>トクベツ</t>
    </rPh>
    <rPh sb="6" eb="8">
      <t>コウジョ</t>
    </rPh>
    <rPh sb="8" eb="10">
      <t>タイショウ</t>
    </rPh>
    <rPh sb="10" eb="13">
      <t>ハイグウシャ</t>
    </rPh>
    <rPh sb="14" eb="16">
      <t>コウジョ</t>
    </rPh>
    <rPh sb="16" eb="17">
      <t>ガク</t>
    </rPh>
    <rPh sb="18" eb="20">
      <t>ショトク</t>
    </rPh>
    <rPh sb="21" eb="22">
      <t>オウ</t>
    </rPh>
    <rPh sb="24" eb="26">
      <t>ヘンカ</t>
    </rPh>
    <rPh sb="29" eb="32">
      <t>ヒカゼイ</t>
    </rPh>
    <rPh sb="32" eb="34">
      <t>ゲンド</t>
    </rPh>
    <rPh sb="35" eb="37">
      <t>エイキョウ</t>
    </rPh>
    <phoneticPr fontId="2"/>
  </si>
  <si>
    <t>A、B、C…配偶者の所得が低ければ配偶者控除を受けることができる者（控除額は所得により減額される）</t>
    <rPh sb="6" eb="9">
      <t>ハイグウシャ</t>
    </rPh>
    <rPh sb="10" eb="12">
      <t>ショトク</t>
    </rPh>
    <rPh sb="13" eb="14">
      <t>ヒク</t>
    </rPh>
    <rPh sb="17" eb="20">
      <t>ハイグウシャ</t>
    </rPh>
    <rPh sb="20" eb="22">
      <t>コウジョ</t>
    </rPh>
    <rPh sb="23" eb="24">
      <t>ウ</t>
    </rPh>
    <rPh sb="32" eb="33">
      <t>シャ</t>
    </rPh>
    <rPh sb="34" eb="36">
      <t>コウジョ</t>
    </rPh>
    <rPh sb="36" eb="37">
      <t>ガク</t>
    </rPh>
    <rPh sb="38" eb="40">
      <t>ショトク</t>
    </rPh>
    <rPh sb="43" eb="45">
      <t>ゲンガク</t>
    </rPh>
    <phoneticPr fontId="2"/>
  </si>
  <si>
    <t>D…配偶者の所得が低くても配偶者控除を受けることができない者</t>
    <rPh sb="2" eb="5">
      <t>ハイグウシャ</t>
    </rPh>
    <rPh sb="6" eb="8">
      <t>ショトク</t>
    </rPh>
    <rPh sb="9" eb="10">
      <t>ヒク</t>
    </rPh>
    <rPh sb="13" eb="16">
      <t>ハイグウシャ</t>
    </rPh>
    <rPh sb="16" eb="18">
      <t>コウジョ</t>
    </rPh>
    <rPh sb="19" eb="20">
      <t>ウ</t>
    </rPh>
    <rPh sb="29" eb="30">
      <t>シャ</t>
    </rPh>
    <phoneticPr fontId="2"/>
  </si>
  <si>
    <t>e…控除対象配偶者/同一生計配偶者</t>
    <rPh sb="2" eb="4">
      <t>コウジョ</t>
    </rPh>
    <rPh sb="4" eb="6">
      <t>タイショウ</t>
    </rPh>
    <rPh sb="6" eb="9">
      <t>ハイグウシャ</t>
    </rPh>
    <rPh sb="10" eb="12">
      <t>ドウイツ</t>
    </rPh>
    <rPh sb="12" eb="14">
      <t>セイケイ</t>
    </rPh>
    <rPh sb="14" eb="17">
      <t>ハイグウシャ</t>
    </rPh>
    <phoneticPr fontId="2"/>
  </si>
  <si>
    <t>p…配偶者控除を受けることができる者にも同一生計配偶者にもならない者</t>
    <rPh sb="2" eb="5">
      <t>ハイグウシャ</t>
    </rPh>
    <rPh sb="5" eb="7">
      <t>コウジョ</t>
    </rPh>
    <rPh sb="8" eb="9">
      <t>ウ</t>
    </rPh>
    <rPh sb="17" eb="18">
      <t>シャ</t>
    </rPh>
    <rPh sb="20" eb="27">
      <t>ドウイツセイケイハイグウシャ</t>
    </rPh>
    <rPh sb="33" eb="34">
      <t>シャ</t>
    </rPh>
    <phoneticPr fontId="2"/>
  </si>
  <si>
    <t>・配偶者控除区分の説明</t>
    <rPh sb="1" eb="4">
      <t>ハイグウシャ</t>
    </rPh>
    <rPh sb="4" eb="6">
      <t>コウジョ</t>
    </rPh>
    <rPh sb="6" eb="8">
      <t>クブン</t>
    </rPh>
    <rPh sb="9" eb="11">
      <t>セツメイ</t>
    </rPh>
    <phoneticPr fontId="2"/>
  </si>
  <si>
    <t>早生まれ適用年度判定</t>
    <rPh sb="0" eb="2">
      <t>ハヤウ</t>
    </rPh>
    <rPh sb="4" eb="6">
      <t>テキヨウ</t>
    </rPh>
    <rPh sb="6" eb="8">
      <t>ネンド</t>
    </rPh>
    <rPh sb="8" eb="10">
      <t>ハンテイ</t>
    </rPh>
    <phoneticPr fontId="2"/>
  </si>
  <si>
    <t>本人年末年齢</t>
    <rPh sb="0" eb="2">
      <t>ホンニン</t>
    </rPh>
    <rPh sb="2" eb="4">
      <t>ネンマツ</t>
    </rPh>
    <rPh sb="4" eb="6">
      <t>ネンレイ</t>
    </rPh>
    <phoneticPr fontId="2"/>
  </si>
  <si>
    <t>早生まれ判定</t>
    <rPh sb="0" eb="2">
      <t>ハヤウ</t>
    </rPh>
    <rPh sb="4" eb="6">
      <t>ハンテイ</t>
    </rPh>
    <phoneticPr fontId="2"/>
  </si>
  <si>
    <t>年度更新、早生まれ控除対応</t>
    <rPh sb="0" eb="2">
      <t>ネンド</t>
    </rPh>
    <rPh sb="2" eb="4">
      <t>コウシン</t>
    </rPh>
    <rPh sb="5" eb="7">
      <t>ハヤウ</t>
    </rPh>
    <rPh sb="9" eb="11">
      <t>コウジョ</t>
    </rPh>
    <rPh sb="11" eb="13">
      <t>タイオウ</t>
    </rPh>
    <phoneticPr fontId="2"/>
  </si>
  <si>
    <t>本人_年齢</t>
  </si>
  <si>
    <t>本人_給与収入金額JPY</t>
  </si>
  <si>
    <t>本人_給与所得金額</t>
  </si>
  <si>
    <t>本人_年金収入金額JPY</t>
  </si>
  <si>
    <t>本人_年金所得金額</t>
  </si>
  <si>
    <t>本人_事業所得金額JPY</t>
  </si>
  <si>
    <t>本人_合計所得金額</t>
  </si>
  <si>
    <t>本人_配偶者有無</t>
  </si>
  <si>
    <t>本人_配偶者控除区分</t>
  </si>
  <si>
    <t>本人_配偶者（特別）控除額</t>
  </si>
  <si>
    <t>本人_扶養控除（一般）</t>
  </si>
  <si>
    <t>本人_扶養控除（特定）</t>
  </si>
  <si>
    <t>本人_扶養控除（老人）</t>
  </si>
  <si>
    <t>本人_扶養控除（同老）</t>
  </si>
  <si>
    <t>本人_障害者控除（一般）</t>
  </si>
  <si>
    <t>本人_障害者控除（特定）</t>
  </si>
  <si>
    <t>本人_障害者控除（同特）</t>
  </si>
  <si>
    <t>本人_寡婦控除（本人の場合は勤労学生控除）</t>
  </si>
  <si>
    <t>本人_寡婦特別控除</t>
  </si>
  <si>
    <t>本人_基礎控除</t>
  </si>
  <si>
    <t>本人_扶養親族等の数</t>
  </si>
  <si>
    <t>本人_社会保険料等控除</t>
  </si>
  <si>
    <t>本人_非課税限度</t>
  </si>
  <si>
    <t>本人_非課税となる基準</t>
  </si>
  <si>
    <t>本人_所得控除合計額</t>
  </si>
  <si>
    <t>本人_課税標準額</t>
  </si>
  <si>
    <t>本人_算出税額</t>
  </si>
  <si>
    <t>本人_配偶者（特別）の差額</t>
  </si>
  <si>
    <t>本人_人的控除の差額</t>
  </si>
  <si>
    <t>本人_調整控除</t>
  </si>
  <si>
    <t>本人_調整額</t>
  </si>
  <si>
    <t>本人_支給額算定基準額</t>
  </si>
  <si>
    <t>維持者１_年齢</t>
  </si>
  <si>
    <t>維持者１_給与収入金額JPY</t>
  </si>
  <si>
    <t>維持者１_給与所得金額</t>
  </si>
  <si>
    <t>維持者１_年金収入金額JPY</t>
  </si>
  <si>
    <t>維持者１_年金所得金額</t>
  </si>
  <si>
    <t>維持者１_事業所得金額JPY</t>
  </si>
  <si>
    <t>維持者１_合計所得金額</t>
  </si>
  <si>
    <t>維持者１_配偶者有無</t>
  </si>
  <si>
    <t>維持者１_配偶者控除区分</t>
  </si>
  <si>
    <t>維持者１_配偶者（特別）控除額</t>
  </si>
  <si>
    <t>維持者１_扶養控除（一般）</t>
  </si>
  <si>
    <t>維持者１_扶養控除（特定）</t>
  </si>
  <si>
    <t>維持者１_扶養控除（老人）</t>
  </si>
  <si>
    <t>維持者１_扶養控除（同老）</t>
  </si>
  <si>
    <t>維持者１_障害者控除（一般）</t>
  </si>
  <si>
    <t>維持者１_障害者控除（特定）</t>
  </si>
  <si>
    <t>維持者１_障害者控除（同特）</t>
  </si>
  <si>
    <t>維持者１_寡婦控除（本人の場合は勤労学生控除）</t>
  </si>
  <si>
    <t>維持者１_寡婦特別控除</t>
  </si>
  <si>
    <t>維持者１_基礎控除</t>
  </si>
  <si>
    <t>維持者１_扶養親族等の数</t>
  </si>
  <si>
    <t>維持者１_社会保険料等控除</t>
  </si>
  <si>
    <t>維持者１_非課税限度</t>
  </si>
  <si>
    <t>維持者１_非課税となる基準</t>
  </si>
  <si>
    <t>維持者１_所得控除合計額</t>
  </si>
  <si>
    <t>維持者１_課税標準額</t>
  </si>
  <si>
    <t>維持者１_算出税額</t>
  </si>
  <si>
    <t>維持者１_配偶者（特別）の差額</t>
  </si>
  <si>
    <t>維持者１_人的控除の差額</t>
  </si>
  <si>
    <t>維持者１_調整控除</t>
  </si>
  <si>
    <t>維持者１_調整額</t>
  </si>
  <si>
    <t>維持者１_支給額算定基準額</t>
  </si>
  <si>
    <t>維持者１_申込者本人該当区分：扶養控除（16未満）</t>
  </si>
  <si>
    <t>維持者１_申込者本人該当区分：扶養控除（一般）</t>
  </si>
  <si>
    <t>維持者１_申込者本人該当区分：扶養控除（特定）</t>
  </si>
  <si>
    <t>維持者１_申込者本人該当区分：障害者控除（一般）</t>
  </si>
  <si>
    <t>維持者１_申込者本人該当区分：障害者控除（特定）</t>
  </si>
  <si>
    <t>維持者１_申込者本人該当区分：障害者控除（同特）</t>
  </si>
  <si>
    <t>維持者１_給与・年金計</t>
  </si>
  <si>
    <t>維持者１_事業等所得</t>
  </si>
  <si>
    <t>維持者１_申込区分</t>
  </si>
  <si>
    <t>維持者１_申込年度</t>
  </si>
  <si>
    <t>維持者１_前年当年区分（0=前年 1=当年）</t>
  </si>
  <si>
    <t>維持者１_賦課期日</t>
  </si>
  <si>
    <t>維持者１_前年レートの年</t>
  </si>
  <si>
    <t>維持者１_当年レートの年</t>
  </si>
  <si>
    <t>維持者１_使用するレート</t>
  </si>
  <si>
    <t>維持者１_税制改正新旧判定</t>
  </si>
  <si>
    <t>維持者１_所得金額調整控除Ａ</t>
  </si>
  <si>
    <t>維持者１_所得金額調整控除Ｂ</t>
  </si>
  <si>
    <t>維持者１_早生まれ適用年度判定</t>
  </si>
  <si>
    <t>維持者１_本人年末年齢</t>
  </si>
  <si>
    <t>維持者１_本人生年月日</t>
  </si>
  <si>
    <t>維持者１_早生まれ判定</t>
  </si>
  <si>
    <t>維持者１_早生まれ控除額</t>
  </si>
  <si>
    <t>維持者１_支給額算定基準額(早生まれ適用後)</t>
  </si>
  <si>
    <t>維持者２_年齢</t>
  </si>
  <si>
    <t>維持者２_給与収入金額JPY</t>
  </si>
  <si>
    <t>維持者２_給与所得金額</t>
  </si>
  <si>
    <t>維持者２_年金収入金額JPY</t>
  </si>
  <si>
    <t>維持者２_年金所得金額</t>
  </si>
  <si>
    <t>維持者２_事業所得金額JPY</t>
  </si>
  <si>
    <t>維持者２_合計所得金額</t>
  </si>
  <si>
    <t>維持者２_配偶者有無</t>
  </si>
  <si>
    <t>維持者２_配偶者控除区分</t>
  </si>
  <si>
    <t>維持者２_配偶者（特別）控除額</t>
  </si>
  <si>
    <t>維持者２_扶養控除（一般）</t>
  </si>
  <si>
    <t>維持者２_扶養控除（特定）</t>
  </si>
  <si>
    <t>維持者２_扶養控除（老人）</t>
  </si>
  <si>
    <t>維持者２_扶養控除（同老）</t>
  </si>
  <si>
    <t>維持者２_障害者控除（一般）</t>
  </si>
  <si>
    <t>維持者２_障害者控除（特定）</t>
  </si>
  <si>
    <t>維持者２_障害者控除（同特）</t>
  </si>
  <si>
    <t>維持者２_寡婦控除（本人の場合は勤労学生控除）</t>
  </si>
  <si>
    <t>維持者２_寡婦特別控除</t>
  </si>
  <si>
    <t>維持者２_基礎控除</t>
  </si>
  <si>
    <t>維持者２_扶養親族等の数</t>
  </si>
  <si>
    <t>維持者２_社会保険料等控除</t>
  </si>
  <si>
    <t>維持者２_非課税限度</t>
  </si>
  <si>
    <t>維持者２_非課税となる基準</t>
  </si>
  <si>
    <t>維持者２_所得控除合計額</t>
  </si>
  <si>
    <t>維持者２_課税標準額</t>
  </si>
  <si>
    <t>維持者２_算出税額</t>
  </si>
  <si>
    <t>維持者２_配偶者（特別）の差額</t>
  </si>
  <si>
    <t>維持者２_人的控除の差額</t>
  </si>
  <si>
    <t>維持者２_調整控除</t>
  </si>
  <si>
    <t>維持者２_調整額</t>
  </si>
  <si>
    <t>維持者２_支給額算定基準額</t>
  </si>
  <si>
    <t>維持者２_申込者本人該当区分：扶養控除（16未満）</t>
  </si>
  <si>
    <t>維持者２_申込者本人該当区分：扶養控除（一般）</t>
  </si>
  <si>
    <t>維持者２_申込者本人該当区分：扶養控除（特定）</t>
  </si>
  <si>
    <t>維持者２_申込者本人該当区分：障害者控除（一般）</t>
  </si>
  <si>
    <t>維持者２_申込者本人該当区分：障害者控除（特定）</t>
  </si>
  <si>
    <t>維持者２_申込者本人該当区分：障害者控除（同特）</t>
  </si>
  <si>
    <t>維持者２_給与・年金計</t>
  </si>
  <si>
    <t>維持者２_事業等所得</t>
  </si>
  <si>
    <t>維持者２_申込区分</t>
  </si>
  <si>
    <t>維持者２_申込年度</t>
  </si>
  <si>
    <t>維持者２_前年当年区分（0=前年 1=当年）</t>
  </si>
  <si>
    <t>維持者２_賦課期日</t>
  </si>
  <si>
    <t>維持者２_前年レートの年</t>
  </si>
  <si>
    <t>維持者２_当年レートの年</t>
  </si>
  <si>
    <t>維持者２_使用するレート</t>
  </si>
  <si>
    <t>維持者２_税制改正新旧判定</t>
  </si>
  <si>
    <t>維持者２_所得金額調整控除Ａ</t>
  </si>
  <si>
    <t>維持者２_所得金額調整控除Ｂ</t>
  </si>
  <si>
    <t>維持者２_早生まれ適用年度判定</t>
  </si>
  <si>
    <t>維持者２_本人年末年齢</t>
  </si>
  <si>
    <t>維持者２_本人生年月日</t>
  </si>
  <si>
    <t>維持者２_早生まれ判定</t>
  </si>
  <si>
    <t>維持者２_早生まれ控除額</t>
  </si>
  <si>
    <t>維持者２_支給額算定基準額(早生まれ適用後)</t>
  </si>
  <si>
    <t>申込受付番号・奨学生番号</t>
    <rPh sb="0" eb="2">
      <t>モウシコミ</t>
    </rPh>
    <rPh sb="2" eb="4">
      <t>ウケツケ</t>
    </rPh>
    <rPh sb="4" eb="6">
      <t>バンゴウ</t>
    </rPh>
    <rPh sb="7" eb="10">
      <t>ショウガクセイ</t>
    </rPh>
    <rPh sb="10" eb="12">
      <t>バンゴウ</t>
    </rPh>
    <phoneticPr fontId="2"/>
  </si>
  <si>
    <t>米ドル (USD)</t>
  </si>
  <si>
    <t>カナダ・ドル (CAD)</t>
  </si>
  <si>
    <t>中国元 (CNY)</t>
  </si>
  <si>
    <t>スウェーデン・クローネ (SEK)</t>
  </si>
  <si>
    <t>スイス・フラン (CHF)</t>
  </si>
  <si>
    <t>スターリング・ポンド (GBP)</t>
  </si>
  <si>
    <t>ユーロ (EUR)</t>
  </si>
  <si>
    <t>アラブ首長国連邦ディルハム (AED)</t>
  </si>
  <si>
    <t>アルゼンチン・ペソ (ARS)</t>
  </si>
  <si>
    <t>イスラエル・シェケル (ILS)</t>
  </si>
  <si>
    <t xml:space="preserve">イラン・リアル (IRR) </t>
  </si>
  <si>
    <t>インド・ルピー (INR)</t>
  </si>
  <si>
    <t>インドネシア・ルピア (IDR)</t>
  </si>
  <si>
    <t>オマーン・リアル (OMR)</t>
  </si>
  <si>
    <t>カタール・リアル (QAR)</t>
  </si>
  <si>
    <t>韓国ウォン (KRW)</t>
  </si>
  <si>
    <t>カンボジア・リエル (KHR)</t>
  </si>
  <si>
    <t>クウェート・ディナール (KWD)</t>
  </si>
  <si>
    <t>ケニア・シリング (KES)</t>
  </si>
  <si>
    <t>コロンビア・ペソ (COP)</t>
  </si>
  <si>
    <t>サウジアラビア・リアル (SAR)</t>
  </si>
  <si>
    <t>シンガポール・ドル(SGD)</t>
  </si>
  <si>
    <t>新台湾ドル (TWD)</t>
  </si>
  <si>
    <t>スリランカ・ルピー (LKR)</t>
  </si>
  <si>
    <t>セーシェル・ルピー (SCR)</t>
  </si>
  <si>
    <t>タイ・バーツ (THB)</t>
  </si>
  <si>
    <t>タヒチ・パシフィックフラン (XPF)</t>
  </si>
  <si>
    <t>チェコ・コルナ (CZK)</t>
  </si>
  <si>
    <t>チリ・ペソ (CLP)</t>
  </si>
  <si>
    <t>デンマーク・クローネ (DKK)</t>
  </si>
  <si>
    <t>トリニダード・トバゴ・ドル (TTD)</t>
  </si>
  <si>
    <t>トルコ・リラ (TRY)</t>
  </si>
  <si>
    <t>ナイジェリア・ナイラ (NGN)</t>
  </si>
  <si>
    <t>ニュージーランド・ドル (NZD)</t>
  </si>
  <si>
    <t>ノルウェー・クローネ (NOK)</t>
  </si>
  <si>
    <t>パキスタン・ルピー (PKR)</t>
  </si>
  <si>
    <t>バヌアツ・バツ (VUV)</t>
  </si>
  <si>
    <t>パプアニューギニア・キナ (PGK)</t>
  </si>
  <si>
    <t>バーレーン・ディナール (BHD)</t>
  </si>
  <si>
    <t>ハンガリー・フォリント (HUF)</t>
  </si>
  <si>
    <t>バングラデシュ・タカ (BDT)</t>
  </si>
  <si>
    <t>フィジー・ドル (FJD)</t>
  </si>
  <si>
    <t>フィリピン・ペソ (PHP)</t>
  </si>
  <si>
    <t>ブラジル・レアル (BRL)</t>
  </si>
  <si>
    <t>ブルネイ・ドル (BND)</t>
  </si>
  <si>
    <t>ベトナム・ドン (VND)</t>
  </si>
  <si>
    <t>ベネズエラ・ボリーバル (VES)</t>
  </si>
  <si>
    <t>ペルー・ヌエボ・ソル (PEN)</t>
  </si>
  <si>
    <t>ポーランド・ズロチ (PLN)</t>
  </si>
  <si>
    <t>香港ドル (HKD)</t>
  </si>
  <si>
    <t>マレーシア・リンギット (MYR)</t>
  </si>
  <si>
    <t>南アフリカ・ラント (ZAR)</t>
  </si>
  <si>
    <t>ミャンマー・チャット (MMK)</t>
  </si>
  <si>
    <t>メキシコ・ペソ (MXN)</t>
  </si>
  <si>
    <t>モーリシャス・ルピー (MUR)</t>
  </si>
  <si>
    <t>モロッコ・ディルハム (MAD)</t>
  </si>
  <si>
    <t>ヨルダン・ディナール (JOD)</t>
  </si>
  <si>
    <t>ラオス・キップ (LAK)</t>
  </si>
  <si>
    <t>ルーマニア・レイ (RON)</t>
  </si>
  <si>
    <t>ルワンダ・フラン (RWF)</t>
  </si>
  <si>
    <t>ロシア・ルーブル (RUB)</t>
  </si>
  <si>
    <t>↓貼付枠</t>
    <rPh sb="1" eb="4">
      <t>ハリツケワク</t>
    </rPh>
    <phoneticPr fontId="2"/>
  </si>
  <si>
    <t>年齢を参照している計算式の修正</t>
    <rPh sb="0" eb="2">
      <t>ネンレイ</t>
    </rPh>
    <rPh sb="3" eb="5">
      <t>サンショウ</t>
    </rPh>
    <rPh sb="9" eb="12">
      <t>ケイサンシキ</t>
    </rPh>
    <rPh sb="13" eb="15">
      <t>シュウセイ</t>
    </rPh>
    <phoneticPr fontId="2"/>
  </si>
  <si>
    <t>0.272</t>
  </si>
  <si>
    <t>0.266</t>
  </si>
  <si>
    <t>0.148</t>
  </si>
  <si>
    <t>2.65</t>
  </si>
  <si>
    <t>0.000476</t>
  </si>
  <si>
    <t>1.41</t>
  </si>
  <si>
    <t>年度更新、貸与基準見直し対応</t>
    <rPh sb="0" eb="2">
      <t>ネンド</t>
    </rPh>
    <rPh sb="2" eb="4">
      <t>コウシン</t>
    </rPh>
    <rPh sb="5" eb="7">
      <t>タイヨ</t>
    </rPh>
    <rPh sb="7" eb="9">
      <t>キジュン</t>
    </rPh>
    <rPh sb="9" eb="11">
      <t>ミナオ</t>
    </rPh>
    <rPh sb="12" eb="14">
      <t>タイオウ</t>
    </rPh>
    <phoneticPr fontId="2"/>
  </si>
  <si>
    <t>ひとり親控除</t>
    <rPh sb="3" eb="4">
      <t>オヤ</t>
    </rPh>
    <rPh sb="4" eb="6">
      <t>コウジョ</t>
    </rPh>
    <phoneticPr fontId="2"/>
  </si>
  <si>
    <t>子の数</t>
    <rPh sb="0" eb="1">
      <t>コ</t>
    </rPh>
    <rPh sb="2" eb="3">
      <t>カズ</t>
    </rPh>
    <phoneticPr fontId="2"/>
  </si>
  <si>
    <t>ひとり親該当</t>
    <rPh sb="3" eb="4">
      <t>オヤ</t>
    </rPh>
    <rPh sb="4" eb="6">
      <t>ガイトウ</t>
    </rPh>
    <phoneticPr fontId="2"/>
  </si>
  <si>
    <t>貸与基準見直し年度判定</t>
    <rPh sb="0" eb="2">
      <t>タイヨ</t>
    </rPh>
    <rPh sb="2" eb="4">
      <t>キジュン</t>
    </rPh>
    <rPh sb="4" eb="6">
      <t>ミナオ</t>
    </rPh>
    <rPh sb="7" eb="9">
      <t>ネンド</t>
    </rPh>
    <rPh sb="9" eb="11">
      <t>ハンテイ</t>
    </rPh>
    <phoneticPr fontId="2"/>
  </si>
  <si>
    <t>維持者１_控除前貸与額算定基準額</t>
    <rPh sb="0" eb="2">
      <t>イジ</t>
    </rPh>
    <rPh sb="2" eb="3">
      <t>シャ</t>
    </rPh>
    <rPh sb="5" eb="7">
      <t>コウジョ</t>
    </rPh>
    <rPh sb="7" eb="8">
      <t>マエ</t>
    </rPh>
    <rPh sb="8" eb="16">
      <t>タイヨガクサンテイキジュンガク</t>
    </rPh>
    <phoneticPr fontId="2"/>
  </si>
  <si>
    <t>維持者２_控除前貸与額算定基準額</t>
    <rPh sb="0" eb="2">
      <t>イジ</t>
    </rPh>
    <rPh sb="2" eb="3">
      <t>シャ</t>
    </rPh>
    <rPh sb="5" eb="7">
      <t>コウジョ</t>
    </rPh>
    <rPh sb="7" eb="8">
      <t>マエ</t>
    </rPh>
    <rPh sb="8" eb="16">
      <t>タイヨガクサンテイキジュンガク</t>
    </rPh>
    <phoneticPr fontId="2"/>
  </si>
  <si>
    <t>子の数</t>
    <rPh sb="0" eb="1">
      <t>コ</t>
    </rPh>
    <rPh sb="2" eb="3">
      <t>カズ</t>
    </rPh>
    <phoneticPr fontId="2"/>
  </si>
  <si>
    <t>ひとり親該当</t>
    <rPh sb="3" eb="4">
      <t>オヤ</t>
    </rPh>
    <rPh sb="4" eb="6">
      <t>ガイトウ</t>
    </rPh>
    <phoneticPr fontId="2"/>
  </si>
  <si>
    <t>勤労学生控除の条件を修正</t>
    <rPh sb="0" eb="6">
      <t>キンロウガクセイコウジョ</t>
    </rPh>
    <rPh sb="7" eb="9">
      <t>ジョウケン</t>
    </rPh>
    <rPh sb="10" eb="12">
      <t>シュウセイ</t>
    </rPh>
    <phoneticPr fontId="2"/>
  </si>
  <si>
    <t>前年レートの計算式、高所得層の給与所得計算方法の修正</t>
    <rPh sb="0" eb="2">
      <t>ゼンネン</t>
    </rPh>
    <rPh sb="6" eb="9">
      <t>ケイサンシキ</t>
    </rPh>
    <rPh sb="10" eb="13">
      <t>コウショトク</t>
    </rPh>
    <rPh sb="13" eb="14">
      <t>ソウ</t>
    </rPh>
    <rPh sb="15" eb="17">
      <t>キュウヨ</t>
    </rPh>
    <rPh sb="17" eb="19">
      <t>ショトク</t>
    </rPh>
    <rPh sb="19" eb="21">
      <t>ケイサン</t>
    </rPh>
    <rPh sb="21" eb="23">
      <t>ホウホウ</t>
    </rPh>
    <rPh sb="24" eb="26">
      <t>シュウセイ</t>
    </rPh>
    <phoneticPr fontId="2"/>
  </si>
  <si>
    <t>1.24</t>
  </si>
  <si>
    <t>0.00000230</t>
  </si>
  <si>
    <t>0.650</t>
  </si>
  <si>
    <t>0.274</t>
  </si>
  <si>
    <t>0.267</t>
  </si>
  <si>
    <t>0.0917</t>
  </si>
  <si>
    <t>0.269</t>
  </si>
  <si>
    <t>0.213</t>
  </si>
  <si>
    <t>0.0985</t>
  </si>
  <si>
    <t>年度更新</t>
    <rPh sb="0" eb="2">
      <t>ネンド</t>
    </rPh>
    <rPh sb="2" eb="4">
      <t>コウシン</t>
    </rPh>
    <phoneticPr fontId="2"/>
  </si>
  <si>
    <t>税情報に準ずる子の数に老人を追加する修正</t>
    <rPh sb="0" eb="1">
      <t>ゼイ</t>
    </rPh>
    <rPh sb="1" eb="3">
      <t>ジョウホウ</t>
    </rPh>
    <rPh sb="4" eb="5">
      <t>ジュン</t>
    </rPh>
    <rPh sb="7" eb="8">
      <t>コ</t>
    </rPh>
    <rPh sb="9" eb="10">
      <t>カズ</t>
    </rPh>
    <rPh sb="11" eb="13">
      <t>ロウジン</t>
    </rPh>
    <rPh sb="14" eb="16">
      <t>ツイカ</t>
    </rPh>
    <rPh sb="18" eb="20">
      <t>シュウセイ</t>
    </rPh>
    <phoneticPr fontId="2"/>
  </si>
  <si>
    <t>大学院見直し対応</t>
    <rPh sb="0" eb="5">
      <t>ダイガクインミナオ</t>
    </rPh>
    <rPh sb="6" eb="8">
      <t>タイオウ</t>
    </rPh>
    <phoneticPr fontId="2"/>
  </si>
  <si>
    <t>大学院予約採用</t>
    <rPh sb="0" eb="3">
      <t>ダイガクイン</t>
    </rPh>
    <rPh sb="3" eb="5">
      <t>ヨヤク</t>
    </rPh>
    <rPh sb="5" eb="7">
      <t>サイヨウ</t>
    </rPh>
    <phoneticPr fontId="2"/>
  </si>
  <si>
    <t>春の大学院在学採用</t>
    <rPh sb="0" eb="1">
      <t>ハル</t>
    </rPh>
    <rPh sb="2" eb="5">
      <t>ダイガクイン</t>
    </rPh>
    <rPh sb="5" eb="7">
      <t>ザイガク</t>
    </rPh>
    <rPh sb="7" eb="9">
      <t>サイヨウ</t>
    </rPh>
    <phoneticPr fontId="2"/>
  </si>
  <si>
    <t>秋の大学院在学採用</t>
    <rPh sb="0" eb="1">
      <t>アキ</t>
    </rPh>
    <rPh sb="2" eb="5">
      <t>ダイガクイン</t>
    </rPh>
    <rPh sb="5" eb="7">
      <t>ザイガク</t>
    </rPh>
    <rPh sb="7" eb="9">
      <t>サイヨウ</t>
    </rPh>
    <phoneticPr fontId="2"/>
  </si>
  <si>
    <t>大学院申込</t>
    <rPh sb="0" eb="3">
      <t>ダイガクイン</t>
    </rPh>
    <rPh sb="3" eb="5">
      <t>モウシコミ</t>
    </rPh>
    <phoneticPr fontId="2"/>
  </si>
  <si>
    <t>ひとり親でない</t>
  </si>
  <si>
    <r>
      <t xml:space="preserve">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
</t>
    </r>
    <r>
      <rPr>
        <sz val="10"/>
        <color rgb="FFFF0000"/>
        <rFont val="ＭＳ Ｐゴシック"/>
        <family val="3"/>
        <charset val="128"/>
        <scheme val="minor"/>
      </rPr>
      <t>※大学院の申し込みの場合、01～09は表示されません。</t>
    </r>
    <rPh sb="109" eb="113">
      <t>ショトクキンガク</t>
    </rPh>
    <rPh sb="114" eb="116">
      <t>ニュウリョク</t>
    </rPh>
    <rPh sb="122" eb="125">
      <t>ダイガクイン</t>
    </rPh>
    <rPh sb="126" eb="127">
      <t>モウ</t>
    </rPh>
    <rPh sb="128" eb="129">
      <t>コ</t>
    </rPh>
    <rPh sb="131" eb="133">
      <t>バアイ</t>
    </rPh>
    <rPh sb="140" eb="142">
      <t>ヒョウジ</t>
    </rPh>
    <phoneticPr fontId="2"/>
  </si>
  <si>
    <t>※10以降は生計維持者に関する情報の入力になりますが、大学院の申し込みの場合、申込者本人及び申込者本人の配偶者</t>
    <rPh sb="6" eb="8">
      <t>セイケイ</t>
    </rPh>
    <rPh sb="8" eb="10">
      <t>イジ</t>
    </rPh>
    <rPh sb="10" eb="11">
      <t>シャ</t>
    </rPh>
    <rPh sb="12" eb="13">
      <t>カン</t>
    </rPh>
    <rPh sb="15" eb="17">
      <t>ジョウホウ</t>
    </rPh>
    <rPh sb="18" eb="20">
      <t>ニュウリョク</t>
    </rPh>
    <rPh sb="27" eb="30">
      <t>ダイガクインノモ</t>
    </rPh>
    <rPh sb="31" eb="38">
      <t>バアイ</t>
    </rPh>
    <phoneticPr fontId="2"/>
  </si>
  <si>
    <r>
      <t>12.11で「はい」を選択した場合のみ出現します</t>
    </r>
    <r>
      <rPr>
        <sz val="10"/>
        <color rgb="FFFF0000"/>
        <rFont val="ＭＳ Ｐゴシック"/>
        <family val="3"/>
        <charset val="128"/>
        <scheme val="minor"/>
      </rPr>
      <t>（大学院では出現しません）</t>
    </r>
    <r>
      <rPr>
        <sz val="10"/>
        <rFont val="ＭＳ Ｐゴシック"/>
        <family val="3"/>
        <charset val="128"/>
        <scheme val="minor"/>
      </rPr>
      <t>。基本的に「はい」を選択してください。本人の両親がいずれも死去している場合等で、父母でない方が生計維持者である場合のみ、配偶者がいる場合は「いいえ」を選択してください。</t>
    </r>
    <rPh sb="25" eb="28">
      <t>ダイガクイン</t>
    </rPh>
    <rPh sb="30" eb="32">
      <t>シュツゲン</t>
    </rPh>
    <phoneticPr fontId="2"/>
  </si>
  <si>
    <t>　に関する入力になります。以下の説明の「生計維持者」は「本人又は配偶者」に読み替えてください。</t>
    <rPh sb="13" eb="15">
      <t>イカ</t>
    </rPh>
    <rPh sb="16" eb="18">
      <t>セツメイ</t>
    </rPh>
    <rPh sb="20" eb="25">
      <t>セイケイイジシャ</t>
    </rPh>
    <rPh sb="28" eb="30">
      <t>ホンニン</t>
    </rPh>
    <rPh sb="30" eb="31">
      <t>マタ</t>
    </rPh>
    <rPh sb="32" eb="35">
      <t>ハイグウシャ</t>
    </rPh>
    <rPh sb="37" eb="38">
      <t>ヨ</t>
    </rPh>
    <rPh sb="39" eb="40">
      <t>カ</t>
    </rPh>
    <phoneticPr fontId="2"/>
  </si>
  <si>
    <r>
      <t>18.～29.生計維持者それぞれ（</t>
    </r>
    <r>
      <rPr>
        <sz val="10"/>
        <color rgb="FFFF0000"/>
        <rFont val="ＭＳ Ｐゴシック"/>
        <family val="3"/>
        <charset val="128"/>
        <scheme val="minor"/>
      </rPr>
      <t>大学院を除き、</t>
    </r>
    <r>
      <rPr>
        <sz val="10"/>
        <rFont val="ＭＳ Ｐゴシック"/>
        <family val="3"/>
        <charset val="128"/>
        <scheme val="minor"/>
      </rPr>
      <t>生計維持者２がおらず、生計維持者１に配偶者がいる場合は、加えて配偶者）について、給与収入、公的年金等の老齢年金の収入、それ以外の所得のそれぞれの通貨・金額を入力します。いずれも、申込区分に基づき申告いただく年の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
    <rPh sb="7" eb="9">
      <t>セイケイ</t>
    </rPh>
    <rPh sb="9" eb="11">
      <t>イジ</t>
    </rPh>
    <rPh sb="11" eb="12">
      <t>シャ</t>
    </rPh>
    <rPh sb="17" eb="20">
      <t>ダイガクイン</t>
    </rPh>
    <rPh sb="21" eb="22">
      <t>ノゾ</t>
    </rPh>
    <rPh sb="24" eb="26">
      <t>セイケイ</t>
    </rPh>
    <rPh sb="26" eb="28">
      <t>イジ</t>
    </rPh>
    <rPh sb="28" eb="29">
      <t>シャ</t>
    </rPh>
    <rPh sb="35" eb="37">
      <t>セイケイ</t>
    </rPh>
    <rPh sb="37" eb="39">
      <t>イジ</t>
    </rPh>
    <rPh sb="39" eb="40">
      <t>シャ</t>
    </rPh>
    <rPh sb="42" eb="45">
      <t>ハイグウシャ</t>
    </rPh>
    <rPh sb="48" eb="50">
      <t>バアイ</t>
    </rPh>
    <rPh sb="52" eb="53">
      <t>クワ</t>
    </rPh>
    <rPh sb="55" eb="58">
      <t>ハイグウシャ</t>
    </rPh>
    <rPh sb="64" eb="66">
      <t>キュウヨ</t>
    </rPh>
    <rPh sb="66" eb="68">
      <t>シュウニュウ</t>
    </rPh>
    <rPh sb="69" eb="71">
      <t>コウテキ</t>
    </rPh>
    <rPh sb="71" eb="73">
      <t>ネンキン</t>
    </rPh>
    <rPh sb="73" eb="74">
      <t>トウ</t>
    </rPh>
    <rPh sb="75" eb="77">
      <t>ロウレイ</t>
    </rPh>
    <rPh sb="77" eb="79">
      <t>ネンキン</t>
    </rPh>
    <rPh sb="80" eb="82">
      <t>シュウニュウ</t>
    </rPh>
    <rPh sb="85" eb="87">
      <t>イガイ</t>
    </rPh>
    <rPh sb="88" eb="90">
      <t>ショトク</t>
    </rPh>
    <rPh sb="96" eb="98">
      <t>ツウカ</t>
    </rPh>
    <rPh sb="99" eb="101">
      <t>キンガク</t>
    </rPh>
    <rPh sb="102" eb="104">
      <t>ニュウリョク</t>
    </rPh>
    <rPh sb="113" eb="115">
      <t>モウシコ</t>
    </rPh>
    <rPh sb="115" eb="117">
      <t>クブン</t>
    </rPh>
    <rPh sb="118" eb="119">
      <t>モト</t>
    </rPh>
    <rPh sb="121" eb="123">
      <t>シンコク</t>
    </rPh>
    <rPh sb="130" eb="131">
      <t>ガツ</t>
    </rPh>
    <rPh sb="132" eb="133">
      <t>ニチ</t>
    </rPh>
    <rPh sb="136" eb="137">
      <t>ガツ</t>
    </rPh>
    <rPh sb="139" eb="140">
      <t>ニチ</t>
    </rPh>
    <rPh sb="141" eb="142">
      <t>エ</t>
    </rPh>
    <rPh sb="143" eb="145">
      <t>シュウニュウ</t>
    </rPh>
    <rPh sb="146" eb="148">
      <t>ショトク</t>
    </rPh>
    <rPh sb="150" eb="152">
      <t>ガッサン</t>
    </rPh>
    <rPh sb="152" eb="153">
      <t>ガク</t>
    </rPh>
    <rPh sb="165" eb="167">
      <t>ゲツブン</t>
    </rPh>
    <rPh sb="168" eb="170">
      <t>テイシュツ</t>
    </rPh>
    <rPh sb="171" eb="173">
      <t>コンナン</t>
    </rPh>
    <rPh sb="174" eb="176">
      <t>バアイ</t>
    </rPh>
    <rPh sb="180" eb="181">
      <t>ガツ</t>
    </rPh>
    <rPh sb="184" eb="186">
      <t>ガツブン</t>
    </rPh>
    <rPh sb="187" eb="189">
      <t>シュウニュウ</t>
    </rPh>
    <rPh sb="190" eb="192">
      <t>ショトク</t>
    </rPh>
    <rPh sb="194" eb="196">
      <t>ガッサン</t>
    </rPh>
    <rPh sb="196" eb="197">
      <t>ガク</t>
    </rPh>
    <rPh sb="199" eb="200">
      <t>バイ</t>
    </rPh>
    <rPh sb="201" eb="203">
      <t>ニュウリョク</t>
    </rPh>
    <rPh sb="207" eb="208">
      <t>ガツ</t>
    </rPh>
    <rPh sb="211" eb="213">
      <t>ガツブン</t>
    </rPh>
    <rPh sb="227" eb="228">
      <t>カ</t>
    </rPh>
    <rPh sb="240" eb="242">
      <t>キュウヨ</t>
    </rPh>
    <rPh sb="245" eb="247">
      <t>ショトク</t>
    </rPh>
    <rPh sb="248" eb="250">
      <t>ジギョウ</t>
    </rPh>
    <rPh sb="250" eb="252">
      <t>ショトク</t>
    </rPh>
    <rPh sb="253" eb="256">
      <t>フドウサン</t>
    </rPh>
    <rPh sb="256" eb="258">
      <t>ショトク</t>
    </rPh>
    <rPh sb="259" eb="261">
      <t>ジョウト</t>
    </rPh>
    <rPh sb="261" eb="263">
      <t>ショトク</t>
    </rPh>
    <rPh sb="264" eb="266">
      <t>ハイトウ</t>
    </rPh>
    <rPh sb="266" eb="268">
      <t>ショトク</t>
    </rPh>
    <rPh sb="268" eb="269">
      <t>トウ</t>
    </rPh>
    <rPh sb="271" eb="273">
      <t>キュウヨ</t>
    </rPh>
    <rPh sb="273" eb="275">
      <t>シュウニュウ</t>
    </rPh>
    <rPh sb="275" eb="277">
      <t>キンガク</t>
    </rPh>
    <rPh sb="278" eb="279">
      <t>フク</t>
    </rPh>
    <rPh sb="293" eb="295">
      <t>コウテキ</t>
    </rPh>
    <rPh sb="295" eb="297">
      <t>ネンキン</t>
    </rPh>
    <rPh sb="297" eb="298">
      <t>トウ</t>
    </rPh>
    <rPh sb="300" eb="302">
      <t>ロウレイ</t>
    </rPh>
    <rPh sb="302" eb="304">
      <t>ネンキン</t>
    </rPh>
    <rPh sb="305" eb="306">
      <t>サ</t>
    </rPh>
    <rPh sb="310" eb="312">
      <t>イゾク</t>
    </rPh>
    <rPh sb="312" eb="314">
      <t>ネンキン</t>
    </rPh>
    <rPh sb="315" eb="317">
      <t>ショウガイ</t>
    </rPh>
    <rPh sb="317" eb="319">
      <t>ネンキン</t>
    </rPh>
    <rPh sb="323" eb="325">
      <t>セイド</t>
    </rPh>
    <rPh sb="326" eb="327">
      <t>フク</t>
    </rPh>
    <rPh sb="335" eb="337">
      <t>キュウヨ</t>
    </rPh>
    <rPh sb="338" eb="340">
      <t>ネンキン</t>
    </rPh>
    <rPh sb="340" eb="342">
      <t>イガイ</t>
    </rPh>
    <rPh sb="343" eb="345">
      <t>ショトク</t>
    </rPh>
    <rPh sb="349" eb="351">
      <t>ジギョウ</t>
    </rPh>
    <rPh sb="351" eb="353">
      <t>ショトク</t>
    </rPh>
    <rPh sb="354" eb="357">
      <t>フドウサン</t>
    </rPh>
    <rPh sb="357" eb="359">
      <t>ショトク</t>
    </rPh>
    <rPh sb="360" eb="362">
      <t>ジョウト</t>
    </rPh>
    <rPh sb="362" eb="364">
      <t>ショトク</t>
    </rPh>
    <rPh sb="365" eb="367">
      <t>ハイトウ</t>
    </rPh>
    <rPh sb="367" eb="369">
      <t>ショトク</t>
    </rPh>
    <rPh sb="369" eb="370">
      <t>トウ</t>
    </rPh>
    <rPh sb="371" eb="373">
      <t>ゴウケイ</t>
    </rPh>
    <rPh sb="373" eb="374">
      <t>ガク</t>
    </rPh>
    <rPh sb="375" eb="377">
      <t>ニュウリョク</t>
    </rPh>
    <phoneticPr fontId="2"/>
  </si>
  <si>
    <t>大学院の提出書類からひとり親に関する書類の〇を削除</t>
    <rPh sb="0" eb="3">
      <t>ダイガクイン</t>
    </rPh>
    <rPh sb="4" eb="6">
      <t>テイシュツ</t>
    </rPh>
    <rPh sb="6" eb="8">
      <t>ショルイ</t>
    </rPh>
    <rPh sb="13" eb="14">
      <t>オヤ</t>
    </rPh>
    <rPh sb="15" eb="16">
      <t>カン</t>
    </rPh>
    <rPh sb="18" eb="20">
      <t>ショルイ</t>
    </rPh>
    <rPh sb="23" eb="25">
      <t>サクジョ</t>
    </rPh>
    <phoneticPr fontId="2"/>
  </si>
  <si>
    <t>必要添付書類の「ひとり親世帯」表記みなおし（大学院以外）</t>
    <rPh sb="0" eb="2">
      <t>ヒツヨウ</t>
    </rPh>
    <rPh sb="2" eb="4">
      <t>テンプ</t>
    </rPh>
    <rPh sb="4" eb="6">
      <t>ショルイ</t>
    </rPh>
    <rPh sb="11" eb="12">
      <t>オヤ</t>
    </rPh>
    <rPh sb="12" eb="14">
      <t>セタイ</t>
    </rPh>
    <rPh sb="15" eb="17">
      <t>ヒョウキ</t>
    </rPh>
    <rPh sb="22" eb="24">
      <t>ダイガク</t>
    </rPh>
    <rPh sb="24" eb="25">
      <t>イン</t>
    </rPh>
    <rPh sb="25" eb="27">
      <t>イガイ</t>
    </rPh>
    <phoneticPr fontId="2"/>
  </si>
  <si>
    <t>年長の者</t>
    <rPh sb="0" eb="2">
      <t>ネンチョウ</t>
    </rPh>
    <rPh sb="3" eb="4">
      <t>シャ</t>
    </rPh>
    <phoneticPr fontId="2"/>
  </si>
  <si>
    <t>－</t>
    <phoneticPr fontId="2"/>
  </si>
  <si>
    <t>（ yyyy / mm / dd ）</t>
    <phoneticPr fontId="2"/>
  </si>
  <si>
    <t>多子拡充対応</t>
    <rPh sb="0" eb="2">
      <t>タシ</t>
    </rPh>
    <rPh sb="2" eb="4">
      <t>カクジュウ</t>
    </rPh>
    <rPh sb="4" eb="6">
      <t>タイオウ</t>
    </rPh>
    <phoneticPr fontId="2"/>
  </si>
  <si>
    <t>D-1</t>
    <phoneticPr fontId="2"/>
  </si>
  <si>
    <t>D-2</t>
    <phoneticPr fontId="2"/>
  </si>
  <si>
    <t>E（ひ）</t>
    <phoneticPr fontId="2"/>
  </si>
  <si>
    <t>（貼り付け後、米ドルのみ、年末時点の東京市場ドル・円スポット中心相場に更新（日銀　外国為替市況）</t>
    <rPh sb="1" eb="2">
      <t>ハ</t>
    </rPh>
    <rPh sb="3" eb="4">
      <t>ツ</t>
    </rPh>
    <rPh sb="5" eb="6">
      <t>ゴ</t>
    </rPh>
    <rPh sb="7" eb="8">
      <t>ベイ</t>
    </rPh>
    <rPh sb="13" eb="15">
      <t>ネンマツ</t>
    </rPh>
    <rPh sb="15" eb="17">
      <t>ジテン</t>
    </rPh>
    <rPh sb="18" eb="20">
      <t>トウキョウ</t>
    </rPh>
    <rPh sb="20" eb="22">
      <t>シジョウ</t>
    </rPh>
    <rPh sb="25" eb="26">
      <t>エン</t>
    </rPh>
    <rPh sb="30" eb="32">
      <t>チュウシン</t>
    </rPh>
    <rPh sb="32" eb="34">
      <t>ソウバ</t>
    </rPh>
    <rPh sb="35" eb="37">
      <t>コウシン</t>
    </rPh>
    <rPh sb="38" eb="40">
      <t>ニチギン</t>
    </rPh>
    <rPh sb="41" eb="45">
      <t>ガイコクカワセ</t>
    </rPh>
    <rPh sb="45" eb="47">
      <t>シキョウ</t>
    </rPh>
    <phoneticPr fontId="2"/>
  </si>
  <si>
    <t>報告省令レート（令和7年1月分）</t>
    <phoneticPr fontId="4"/>
  </si>
  <si>
    <t>日本銀行国際局</t>
    <phoneticPr fontId="4"/>
  </si>
  <si>
    <t xml:space="preserve">  が定める相場（アメリカ合衆国通貨以外の通貨とアメリカ合衆国通貨との間</t>
    <phoneticPr fontId="4"/>
  </si>
  <si>
    <t>[令和7年1月中において適用]</t>
    <phoneticPr fontId="4"/>
  </si>
  <si>
    <t>円 (</t>
    <phoneticPr fontId="4"/>
  </si>
  <si>
    <t xml:space="preserve"> JPY)</t>
    <phoneticPr fontId="4"/>
  </si>
  <si>
    <t>カナダ・ドル (1 CAD)</t>
    <phoneticPr fontId="4"/>
  </si>
  <si>
    <t>0.716</t>
  </si>
  <si>
    <t>中国元 (1 CNY)</t>
    <phoneticPr fontId="4"/>
  </si>
  <si>
    <t>0.139</t>
  </si>
  <si>
    <t>スウェーデン・クローネ (1 SEK)</t>
    <phoneticPr fontId="4"/>
  </si>
  <si>
    <t>スイス・フラン (1 CHF)</t>
    <phoneticPr fontId="4"/>
  </si>
  <si>
    <t>1.14</t>
  </si>
  <si>
    <t>スターリング・ポンド (1 GBP)</t>
    <phoneticPr fontId="4"/>
  </si>
  <si>
    <t>1.27</t>
  </si>
  <si>
    <t>ユーロ (1 EUR)</t>
    <phoneticPr fontId="4"/>
  </si>
  <si>
    <t>1.06</t>
  </si>
  <si>
    <t>アラブ首長国連邦ディルハム (1 AED)</t>
    <phoneticPr fontId="4"/>
  </si>
  <si>
    <t>アルゼンチン・ペソ (1 ARS)</t>
    <phoneticPr fontId="4"/>
  </si>
  <si>
    <t>0.00100</t>
  </si>
  <si>
    <t>イスラエル・シェケル (1 ILS)</t>
    <phoneticPr fontId="4"/>
  </si>
  <si>
    <t xml:space="preserve">イラン・リアル (1 IRR) </t>
    <phoneticPr fontId="4"/>
  </si>
  <si>
    <t>インド・ルピー (1 INR)</t>
    <phoneticPr fontId="4"/>
  </si>
  <si>
    <t>0.0119</t>
  </si>
  <si>
    <t>インドネシア・ルピア (100 IDR)</t>
    <phoneticPr fontId="4"/>
  </si>
  <si>
    <t>0.00632</t>
  </si>
  <si>
    <t>オーストラリア・ドル (1 AUD)</t>
    <phoneticPr fontId="4"/>
  </si>
  <si>
    <t>0.653</t>
  </si>
  <si>
    <t>オマーン・リアル (1 OMR)</t>
    <phoneticPr fontId="4"/>
  </si>
  <si>
    <t>カタール・リアル (1 QAR)</t>
    <phoneticPr fontId="4"/>
  </si>
  <si>
    <t>韓国ウォン (100 KRW)</t>
    <phoneticPr fontId="4"/>
  </si>
  <si>
    <t>0.0717</t>
  </si>
  <si>
    <t>カンボジア・リエル (100 KHR)</t>
    <phoneticPr fontId="4"/>
  </si>
  <si>
    <t>0.0247</t>
  </si>
  <si>
    <t>クウェート・ディナール (1 KWD)</t>
    <phoneticPr fontId="4"/>
  </si>
  <si>
    <t>3.25</t>
  </si>
  <si>
    <t>ケニア・シリング (1 KES)</t>
    <phoneticPr fontId="4"/>
  </si>
  <si>
    <t>0.00774</t>
  </si>
  <si>
    <t>コロンビア・ペソ (100 COP)</t>
    <phoneticPr fontId="4"/>
  </si>
  <si>
    <t>0.0227</t>
  </si>
  <si>
    <t>サウジアラビア・リアル (1 SAR)</t>
    <phoneticPr fontId="4"/>
  </si>
  <si>
    <t>シンガポール・ドル(1 SGD)</t>
    <phoneticPr fontId="4"/>
  </si>
  <si>
    <t>0.748</t>
  </si>
  <si>
    <t>新台湾ドル (100 TWD)</t>
    <phoneticPr fontId="4"/>
  </si>
  <si>
    <t>3.09</t>
  </si>
  <si>
    <t>スリランカ・ルピー (100 LKR)</t>
    <phoneticPr fontId="4"/>
  </si>
  <si>
    <t>0.343</t>
  </si>
  <si>
    <t>セーシェル・ルピー (1 SCR)</t>
    <phoneticPr fontId="4"/>
  </si>
  <si>
    <t>0.0711</t>
  </si>
  <si>
    <t>タイ・バーツ (100 THB)</t>
    <phoneticPr fontId="4"/>
  </si>
  <si>
    <t>2.90</t>
  </si>
  <si>
    <t>タヒチ・パシフィックフラン (100 XPF)</t>
    <phoneticPr fontId="4"/>
  </si>
  <si>
    <t>0.893</t>
  </si>
  <si>
    <t>チェコ・コルナ (1 CZK)</t>
    <phoneticPr fontId="4"/>
  </si>
  <si>
    <t>0.0420</t>
  </si>
  <si>
    <t>チリ・ペソ (100 CLP)</t>
    <phoneticPr fontId="4"/>
  </si>
  <si>
    <t>0.103</t>
  </si>
  <si>
    <t>デンマーク・クローネ (1 DKK)</t>
    <phoneticPr fontId="4"/>
  </si>
  <si>
    <t>0.142</t>
  </si>
  <si>
    <t>トリニダード・トバゴ・ドル (1 TTD)</t>
    <phoneticPr fontId="4"/>
  </si>
  <si>
    <t>トルコ・リラ (1 TRY)</t>
    <phoneticPr fontId="4"/>
  </si>
  <si>
    <t>0.0290</t>
  </si>
  <si>
    <t>ナイジェリア・ナイラ (1 NGN)</t>
    <phoneticPr fontId="4"/>
  </si>
  <si>
    <t>0.000597</t>
  </si>
  <si>
    <t>ニュージーランド・ドル (1 NZD)</t>
    <phoneticPr fontId="4"/>
  </si>
  <si>
    <t>0.591</t>
  </si>
  <si>
    <t>ノルウェー・クローネ (1 NOK)</t>
    <phoneticPr fontId="4"/>
  </si>
  <si>
    <t>0.0905</t>
  </si>
  <si>
    <t>パキスタン・ルピー (1 PKR)</t>
    <phoneticPr fontId="4"/>
  </si>
  <si>
    <t>0.00360</t>
  </si>
  <si>
    <t>バヌアツ・バツ (100 VUV)</t>
    <phoneticPr fontId="4"/>
  </si>
  <si>
    <t>0.822</t>
  </si>
  <si>
    <t xml:space="preserve">  〃</t>
    <phoneticPr fontId="4"/>
  </si>
  <si>
    <t>パプアニューギニア・キナ (1 PGK)</t>
    <phoneticPr fontId="4"/>
  </si>
  <si>
    <t>0.253</t>
  </si>
  <si>
    <t>バーレーン・ディナール (1 BHD)</t>
    <phoneticPr fontId="4"/>
  </si>
  <si>
    <t>ハンガリー・フォリント (100 HUF)</t>
    <phoneticPr fontId="4"/>
  </si>
  <si>
    <t>0.259</t>
  </si>
  <si>
    <t>バングラデシュ・タカ (100 BDT)</t>
    <phoneticPr fontId="4"/>
  </si>
  <si>
    <t>0.837</t>
  </si>
  <si>
    <t>フィジー・ドル (1 FJD)</t>
    <phoneticPr fontId="4"/>
  </si>
  <si>
    <t>0.439</t>
  </si>
  <si>
    <t>フィリピン・ペソ (1 PHP)</t>
    <phoneticPr fontId="4"/>
  </si>
  <si>
    <t>0.0170</t>
  </si>
  <si>
    <t>ブラジル・レアル (1 BRL)</t>
    <phoneticPr fontId="4"/>
  </si>
  <si>
    <t>0.172</t>
  </si>
  <si>
    <t>ブルネイ・ドル (1 BND)</t>
    <phoneticPr fontId="4"/>
  </si>
  <si>
    <t>ベトナム・ドン (100 VND)</t>
    <phoneticPr fontId="4"/>
  </si>
  <si>
    <t>0.00394</t>
  </si>
  <si>
    <t>ベネズエラ・ボリーバル (1 VES)</t>
    <phoneticPr fontId="4"/>
  </si>
  <si>
    <t>0.0222</t>
  </si>
  <si>
    <t>ペルー・ヌエボ・ソル (1 PEN)</t>
    <phoneticPr fontId="4"/>
  </si>
  <si>
    <t>0.265</t>
  </si>
  <si>
    <t>ポーランド・ズロチ (1 PLN)</t>
    <phoneticPr fontId="4"/>
  </si>
  <si>
    <t>0.245</t>
  </si>
  <si>
    <t>香港ドル (1 HKD)</t>
    <phoneticPr fontId="4"/>
  </si>
  <si>
    <t>0.129</t>
  </si>
  <si>
    <t>マレーシア・リンギット (1 MYR)</t>
    <phoneticPr fontId="4"/>
  </si>
  <si>
    <t>0.225</t>
  </si>
  <si>
    <t>南アフリカ・ラント (1 ZAR)</t>
    <phoneticPr fontId="4"/>
  </si>
  <si>
    <t>0.0557</t>
  </si>
  <si>
    <t>ミャンマー・チャット (1 MMK)</t>
    <phoneticPr fontId="4"/>
  </si>
  <si>
    <t>メキシコ・ペソ (1 MXN)</t>
    <phoneticPr fontId="4"/>
  </si>
  <si>
    <t>0.0492</t>
  </si>
  <si>
    <t>モーリシャス・ルピー (1 MUR)</t>
    <phoneticPr fontId="4"/>
  </si>
  <si>
    <t>0.0215</t>
  </si>
  <si>
    <t>モロッコ・ディルハム (1 MAD)</t>
    <phoneticPr fontId="4"/>
  </si>
  <si>
    <t>0.101</t>
  </si>
  <si>
    <t>ヨルダン・ディナール (1 JOD)</t>
    <phoneticPr fontId="4"/>
  </si>
  <si>
    <t>ラオス・キップ (100 LAK)</t>
    <phoneticPr fontId="4"/>
  </si>
  <si>
    <t>0.00456</t>
  </si>
  <si>
    <t>ルーマニア・レイ (1 RON)</t>
    <phoneticPr fontId="4"/>
  </si>
  <si>
    <t>ルワンダ・フラン (100 RWF)</t>
    <phoneticPr fontId="4"/>
  </si>
  <si>
    <t>0.0731</t>
  </si>
  <si>
    <t>ロシア・ルーブル (1 RUB)</t>
    <phoneticPr fontId="4"/>
  </si>
  <si>
    <t>0.00989</t>
  </si>
  <si>
    <t>上記以外の外国通貨</t>
    <phoneticPr fontId="4"/>
  </si>
  <si>
    <t>（令和6年11月中における実勢相場の平均値）</t>
    <phoneticPr fontId="4"/>
  </si>
  <si>
    <t>父</t>
    <rPh sb="0" eb="1">
      <t>チチ</t>
    </rPh>
    <phoneticPr fontId="2"/>
  </si>
  <si>
    <t>母</t>
    <rPh sb="0" eb="1">
      <t>ハハ</t>
    </rPh>
    <phoneticPr fontId="2"/>
  </si>
  <si>
    <t>その他</t>
    <rPh sb="2" eb="3">
      <t>タ</t>
    </rPh>
    <phoneticPr fontId="2"/>
  </si>
  <si>
    <t>本人扶養判定</t>
    <rPh sb="0" eb="2">
      <t>ホンニン</t>
    </rPh>
    <rPh sb="2" eb="4">
      <t>フヨウ</t>
    </rPh>
    <rPh sb="4" eb="6">
      <t>ハンテイ</t>
    </rPh>
    <phoneticPr fontId="2"/>
  </si>
  <si>
    <t>←行ごと非表示</t>
    <rPh sb="1" eb="2">
      <t>ギョウ</t>
    </rPh>
    <rPh sb="4" eb="7">
      <t>ヒヒョウジ</t>
    </rPh>
    <phoneticPr fontId="2"/>
  </si>
  <si>
    <t>祖父</t>
    <rPh sb="0" eb="2">
      <t>ソフ</t>
    </rPh>
    <phoneticPr fontId="2"/>
  </si>
  <si>
    <t>祖母</t>
    <rPh sb="0" eb="2">
      <t>ソボ</t>
    </rPh>
    <phoneticPr fontId="2"/>
  </si>
  <si>
    <t>生計維持者が親または年下</t>
    <rPh sb="0" eb="2">
      <t>セイケイ</t>
    </rPh>
    <rPh sb="2" eb="4">
      <t>イジ</t>
    </rPh>
    <rPh sb="4" eb="5">
      <t>シャ</t>
    </rPh>
    <rPh sb="6" eb="7">
      <t>オヤ</t>
    </rPh>
    <rPh sb="10" eb="12">
      <t>トシシタ</t>
    </rPh>
    <phoneticPr fontId="2"/>
  </si>
  <si>
    <t>(項番33の内数)</t>
    <rPh sb="1" eb="3">
      <t>コウバン</t>
    </rPh>
    <rPh sb="6" eb="8">
      <t>ウチスウ</t>
    </rPh>
    <phoneticPr fontId="2"/>
  </si>
  <si>
    <t>【入力例】海外居住者のための収入等申告書</t>
    <rPh sb="1" eb="3">
      <t>ニュウリョク</t>
    </rPh>
    <rPh sb="3" eb="4">
      <t>レイ</t>
    </rPh>
    <rPh sb="5" eb="7">
      <t>カイガイ</t>
    </rPh>
    <rPh sb="7" eb="10">
      <t>キョジュウシャ</t>
    </rPh>
    <rPh sb="14" eb="16">
      <t>シュウニュウ</t>
    </rPh>
    <rPh sb="16" eb="17">
      <t>トウ</t>
    </rPh>
    <rPh sb="17" eb="19">
      <t>シンコク</t>
    </rPh>
    <rPh sb="19" eb="20">
      <t>ショ</t>
    </rPh>
    <phoneticPr fontId="2"/>
  </si>
  <si>
    <t>【記入にあたっての注意事項】</t>
    <rPh sb="1" eb="3">
      <t>キニュウ</t>
    </rPh>
    <rPh sb="9" eb="11">
      <t>チュウイ</t>
    </rPh>
    <rPh sb="11" eb="13">
      <t>ジコウ</t>
    </rPh>
    <phoneticPr fontId="2"/>
  </si>
  <si>
    <t>機構使用欄の見直し（本人扶養区分表示、旧貸与基準のための年収等削除）</t>
    <rPh sb="0" eb="2">
      <t>キコウ</t>
    </rPh>
    <rPh sb="2" eb="4">
      <t>シヨウ</t>
    </rPh>
    <rPh sb="4" eb="5">
      <t>ラン</t>
    </rPh>
    <rPh sb="6" eb="8">
      <t>ミナオ</t>
    </rPh>
    <rPh sb="10" eb="12">
      <t>ホンニン</t>
    </rPh>
    <rPh sb="12" eb="14">
      <t>フヨウ</t>
    </rPh>
    <rPh sb="14" eb="16">
      <t>クブン</t>
    </rPh>
    <rPh sb="16" eb="18">
      <t>ヒョウジ</t>
    </rPh>
    <rPh sb="19" eb="20">
      <t>キュウ</t>
    </rPh>
    <rPh sb="20" eb="22">
      <t>タイヨ</t>
    </rPh>
    <rPh sb="22" eb="24">
      <t>キジュン</t>
    </rPh>
    <rPh sb="28" eb="30">
      <t>ネンシュウ</t>
    </rPh>
    <rPh sb="30" eb="31">
      <t>トウ</t>
    </rPh>
    <rPh sb="31" eb="33">
      <t>サクジョ</t>
    </rPh>
    <phoneticPr fontId="2"/>
  </si>
  <si>
    <t>扶養親族が生計維持者より年上かの入力欄作成・子の数の条件変更</t>
    <rPh sb="0" eb="2">
      <t>フヨウ</t>
    </rPh>
    <rPh sb="2" eb="4">
      <t>シンゾク</t>
    </rPh>
    <rPh sb="5" eb="10">
      <t>セイケイイジシャ</t>
    </rPh>
    <rPh sb="12" eb="14">
      <t>トシウエ</t>
    </rPh>
    <rPh sb="16" eb="18">
      <t>ニュウリョク</t>
    </rPh>
    <rPh sb="18" eb="19">
      <t>ラン</t>
    </rPh>
    <rPh sb="19" eb="21">
      <t>サクセイ</t>
    </rPh>
    <rPh sb="22" eb="23">
      <t>コ</t>
    </rPh>
    <rPh sb="24" eb="25">
      <t>カズ</t>
    </rPh>
    <rPh sb="26" eb="28">
      <t>ジョウケン</t>
    </rPh>
    <rPh sb="28" eb="30">
      <t>ヘンコウ</t>
    </rPh>
    <phoneticPr fontId="2"/>
  </si>
  <si>
    <t>本人扶養区分の追加</t>
    <rPh sb="0" eb="2">
      <t>ホンニン</t>
    </rPh>
    <rPh sb="2" eb="4">
      <t>フヨウ</t>
    </rPh>
    <rPh sb="4" eb="6">
      <t>クブン</t>
    </rPh>
    <rPh sb="7" eb="9">
      <t>ツイカ</t>
    </rPh>
    <phoneticPr fontId="2"/>
  </si>
  <si>
    <t>基本情報の入力欄見直し（生計維持者の続柄の入力欄作成、どのような状況でも維持者２がいる場合は維持者２情報を入れさせるため情報追加、見た目の整理）</t>
    <rPh sb="0" eb="2">
      <t>キホン</t>
    </rPh>
    <rPh sb="2" eb="4">
      <t>ジョウホウ</t>
    </rPh>
    <rPh sb="5" eb="7">
      <t>ニュウリョク</t>
    </rPh>
    <rPh sb="7" eb="8">
      <t>ラン</t>
    </rPh>
    <rPh sb="8" eb="10">
      <t>ミナオ</t>
    </rPh>
    <rPh sb="12" eb="14">
      <t>セイケイ</t>
    </rPh>
    <rPh sb="14" eb="16">
      <t>イジ</t>
    </rPh>
    <rPh sb="16" eb="17">
      <t>シャ</t>
    </rPh>
    <rPh sb="18" eb="20">
      <t>ツヅキガラ</t>
    </rPh>
    <rPh sb="21" eb="23">
      <t>ニュウリョク</t>
    </rPh>
    <rPh sb="23" eb="24">
      <t>ラン</t>
    </rPh>
    <rPh sb="24" eb="26">
      <t>サクセイ</t>
    </rPh>
    <rPh sb="32" eb="34">
      <t>ジョウキョウ</t>
    </rPh>
    <rPh sb="36" eb="38">
      <t>イジ</t>
    </rPh>
    <rPh sb="38" eb="39">
      <t>シャ</t>
    </rPh>
    <rPh sb="43" eb="45">
      <t>バアイ</t>
    </rPh>
    <rPh sb="46" eb="48">
      <t>イジ</t>
    </rPh>
    <rPh sb="48" eb="49">
      <t>シャ</t>
    </rPh>
    <rPh sb="50" eb="52">
      <t>ジョウホウ</t>
    </rPh>
    <rPh sb="53" eb="54">
      <t>イ</t>
    </rPh>
    <rPh sb="60" eb="62">
      <t>ジョウホウ</t>
    </rPh>
    <rPh sb="62" eb="64">
      <t>ツイカ</t>
    </rPh>
    <rPh sb="65" eb="66">
      <t>ミ</t>
    </rPh>
    <rPh sb="67" eb="68">
      <t>メ</t>
    </rPh>
    <rPh sb="69" eb="71">
      <t>セイリ</t>
    </rPh>
    <phoneticPr fontId="2"/>
  </si>
  <si>
    <t>維持者２がいる場合「配偶者は生計維持者２ですか」が無意味になるため設問ごと削除</t>
    <rPh sb="0" eb="2">
      <t>イジ</t>
    </rPh>
    <rPh sb="2" eb="3">
      <t>シャ</t>
    </rPh>
    <rPh sb="7" eb="9">
      <t>バアイ</t>
    </rPh>
    <rPh sb="10" eb="13">
      <t>ハイグウシャ</t>
    </rPh>
    <rPh sb="14" eb="19">
      <t>セイケイイジシャ</t>
    </rPh>
    <rPh sb="25" eb="28">
      <t>ムイミ</t>
    </rPh>
    <rPh sb="33" eb="35">
      <t>セツモン</t>
    </rPh>
    <rPh sb="37" eb="39">
      <t>サクジョ</t>
    </rPh>
    <phoneticPr fontId="2"/>
  </si>
  <si>
    <t>14.ひとり親の選択は、11で「いいえ」を選択した場合のみ選択が必要です。</t>
    <rPh sb="6" eb="7">
      <t>オヤ</t>
    </rPh>
    <rPh sb="8" eb="10">
      <t>センタク</t>
    </rPh>
    <rPh sb="29" eb="31">
      <t>センタク</t>
    </rPh>
    <rPh sb="32" eb="34">
      <t>ヒツヨウ</t>
    </rPh>
    <phoneticPr fontId="2"/>
  </si>
  <si>
    <t>12345678</t>
    <phoneticPr fontId="2"/>
  </si>
  <si>
    <t>101</t>
    <phoneticPr fontId="2"/>
  </si>
  <si>
    <t>機構　太郎</t>
    <rPh sb="0" eb="2">
      <t>キコウ</t>
    </rPh>
    <rPh sb="3" eb="5">
      <t>タロウ</t>
    </rPh>
    <phoneticPr fontId="2"/>
  </si>
  <si>
    <t>機構　父</t>
    <rPh sb="0" eb="2">
      <t>キコウ</t>
    </rPh>
    <rPh sb="3" eb="4">
      <t>チチ</t>
    </rPh>
    <phoneticPr fontId="2"/>
  </si>
  <si>
    <t>901234</t>
    <phoneticPr fontId="2"/>
  </si>
  <si>
    <t>　A</t>
    <phoneticPr fontId="2"/>
  </si>
  <si>
    <t>　B</t>
    <phoneticPr fontId="2"/>
  </si>
  <si>
    <t>　C</t>
    <phoneticPr fontId="2"/>
  </si>
  <si>
    <t>本人扶養</t>
    <rPh sb="0" eb="2">
      <t>ホンニン</t>
    </rPh>
    <rPh sb="2" eb="4">
      <t>フヨウ</t>
    </rPh>
    <phoneticPr fontId="2"/>
  </si>
  <si>
    <t>本人_ひとり親控除</t>
    <rPh sb="6" eb="7">
      <t>オヤ</t>
    </rPh>
    <phoneticPr fontId="2"/>
  </si>
  <si>
    <t>維持者１_ひとり親控除</t>
    <rPh sb="8" eb="9">
      <t>オヤ</t>
    </rPh>
    <phoneticPr fontId="2"/>
  </si>
  <si>
    <t>維持者２_ひとり親控除</t>
    <rPh sb="8" eb="9">
      <t>オヤ</t>
    </rPh>
    <phoneticPr fontId="2"/>
  </si>
  <si>
    <t>③生計維持者に扶養親族がいる場合　その親族との関係（親子等）を明らかにする公的な書類（住民票、戸籍謄本、婚姻証明書等に該当する書類等）及びその和訳
④生計維持者は原則父母ですが、１人しかいない場合、その旨（離婚・未婚・死別等）により現在生計維持者が１人のみである証明書
（大学院の場合、申込者本人がひとり親である場合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1" eb="83">
      <t>ゲンソク</t>
    </rPh>
    <rPh sb="83" eb="85">
      <t>フボ</t>
    </rPh>
    <rPh sb="90" eb="91">
      <t>ニン</t>
    </rPh>
    <rPh sb="96" eb="98">
      <t>バアイ</t>
    </rPh>
    <rPh sb="101" eb="102">
      <t>ムネ</t>
    </rPh>
    <rPh sb="106" eb="108">
      <t>ミコン</t>
    </rPh>
    <rPh sb="116" eb="118">
      <t>ゲンザイ</t>
    </rPh>
    <rPh sb="118" eb="123">
      <t>セイケイイジシャ</t>
    </rPh>
    <rPh sb="125" eb="126">
      <t>ニン</t>
    </rPh>
    <rPh sb="131" eb="134">
      <t>ショウメイショ</t>
    </rPh>
    <rPh sb="136" eb="139">
      <t>ダイガクイン</t>
    </rPh>
    <rPh sb="140" eb="142">
      <t>バアイ</t>
    </rPh>
    <rPh sb="143" eb="145">
      <t>モウシコミ</t>
    </rPh>
    <rPh sb="145" eb="146">
      <t>シャ</t>
    </rPh>
    <rPh sb="146" eb="148">
      <t>ホンニン</t>
    </rPh>
    <rPh sb="152" eb="153">
      <t>オヤ</t>
    </rPh>
    <rPh sb="156" eb="158">
      <t>バアイ</t>
    </rPh>
    <rPh sb="161" eb="162">
      <t>シャ</t>
    </rPh>
    <rPh sb="166" eb="167">
      <t>オヤ</t>
    </rPh>
    <rPh sb="173" eb="174">
      <t>シメ</t>
    </rPh>
    <rPh sb="175" eb="177">
      <t>コウテキ</t>
    </rPh>
    <rPh sb="177" eb="180">
      <t>ショウメイショ</t>
    </rPh>
    <rPh sb="181" eb="183">
      <t>コセキ</t>
    </rPh>
    <rPh sb="183" eb="185">
      <t>トウホン</t>
    </rPh>
    <rPh sb="185" eb="186">
      <t>トウ</t>
    </rPh>
    <rPh sb="188" eb="189">
      <t>オヨ</t>
    </rPh>
    <rPh sb="192" eb="194">
      <t>ワヤク</t>
    </rPh>
    <phoneticPr fontId="3"/>
  </si>
  <si>
    <t>(1)奨学金申込者（以下、「本人」という）や生計維持者が、１月１日時点で海外に居住していることを理由として日本国内で住民税を課されていない場合には、この申告書を提出してください。本申告書等に基づき、当機構においてその者の算定基準額を算出し、奨学金の選考等を実施します。採用された後、給付奨学生は、海外で得た収入等がある限り、毎年提出します。</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rPh sb="134" eb="136">
      <t>サイヨウ</t>
    </rPh>
    <rPh sb="139" eb="140">
      <t>アト</t>
    </rPh>
    <rPh sb="141" eb="143">
      <t>キュウフ</t>
    </rPh>
    <rPh sb="143" eb="146">
      <t>ショウガクセイ</t>
    </rPh>
    <rPh sb="148" eb="150">
      <t>カイガイ</t>
    </rPh>
    <rPh sb="151" eb="152">
      <t>エ</t>
    </rPh>
    <rPh sb="153" eb="156">
      <t>シュウニュウトウ</t>
    </rPh>
    <rPh sb="159" eb="160">
      <t>カギ</t>
    </rPh>
    <rPh sb="162" eb="164">
      <t>マイトシ</t>
    </rPh>
    <rPh sb="164" eb="166">
      <t>テイシュツ</t>
    </rPh>
    <phoneticPr fontId="2"/>
  </si>
  <si>
    <t>03.本人が、所得税法に定める（もしくは、所得税法の定めに該当すると考えられる）障がい者であるかを選択します。</t>
    <phoneticPr fontId="2"/>
  </si>
  <si>
    <t>13.・16.生計維持者が所得税法に定める（もしくは、所得税法の定めに該当すると考えられる）障がい者であるかを選択します。</t>
    <rPh sb="27" eb="29">
      <t>ショトク</t>
    </rPh>
    <rPh sb="29" eb="31">
      <t>ゼイホウ</t>
    </rPh>
    <rPh sb="32" eb="33">
      <t>サダ</t>
    </rPh>
    <rPh sb="35" eb="37">
      <t>ガイトウ</t>
    </rPh>
    <rPh sb="40" eb="41">
      <t>カンガ</t>
    </rPh>
    <rPh sb="46" eb="47">
      <t>ショウ</t>
    </rPh>
    <rPh sb="49" eb="50">
      <t>シャ</t>
    </rPh>
    <phoneticPr fontId="2"/>
  </si>
  <si>
    <t>3/3更新により続柄を確認することになったことに伴い、所得金額調整控除の算定等をより正確に行えるよう更新した。</t>
    <rPh sb="3" eb="5">
      <t>コウシン</t>
    </rPh>
    <rPh sb="8" eb="10">
      <t>ツヅキガラ</t>
    </rPh>
    <rPh sb="11" eb="13">
      <t>カクニン</t>
    </rPh>
    <rPh sb="24" eb="25">
      <t>トモナ</t>
    </rPh>
    <rPh sb="27" eb="35">
      <t>ショトクキンガクチョウセイコウジョ</t>
    </rPh>
    <rPh sb="36" eb="38">
      <t>サンテイ</t>
    </rPh>
    <rPh sb="38" eb="39">
      <t>トウ</t>
    </rPh>
    <rPh sb="42" eb="44">
      <t>セイカク</t>
    </rPh>
    <rPh sb="45" eb="46">
      <t>オコナ</t>
    </rPh>
    <rPh sb="50" eb="52">
      <t>コウシン</t>
    </rPh>
    <phoneticPr fontId="2"/>
  </si>
  <si>
    <t>表示関係の修正</t>
    <rPh sb="0" eb="2">
      <t>ヒョウジ</t>
    </rPh>
    <rPh sb="2" eb="4">
      <t>カンケイ</t>
    </rPh>
    <rPh sb="5" eb="7">
      <t>シュウセイ</t>
    </rPh>
    <phoneticPr fontId="2"/>
  </si>
  <si>
    <t>★</t>
    <phoneticPr fontId="2"/>
  </si>
  <si>
    <t>★の者が1/1時</t>
  </si>
  <si>
    <t>点で日本国内に</t>
  </si>
  <si>
    <t>居住していた場</t>
  </si>
  <si>
    <t>合でも入力して</t>
  </si>
  <si>
    <t>ください。</t>
  </si>
  <si>
    <t>扶養の情報は、</t>
  </si>
  <si>
    <t>1/1時点で日本</t>
  </si>
  <si>
    <t>国内に居住して</t>
  </si>
  <si>
    <t>いた者は課税証</t>
  </si>
  <si>
    <t>明書の扶養親族</t>
  </si>
  <si>
    <t>の数を入力して</t>
  </si>
  <si>
    <t>ください(下欄)。</t>
  </si>
  <si>
    <t>17.～28.生計維持者それぞれ（大学院を除き、生計維持者２がおらず、生計維持者１に配偶者がいる場合は、加えて配偶者。大学院の場合、本人及び配偶者。以下同じ）について、給与収入、公的年金等の老齢年金の収入、それ以外の所得のそれぞれの通貨・金額を入力します。いずれも、申込区分に基づき申告いただく年の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20">
      <t>ダイガクイン</t>
    </rPh>
    <rPh sb="21" eb="22">
      <t>ノゾ</t>
    </rPh>
    <rPh sb="24" eb="26">
      <t>セイケイ</t>
    </rPh>
    <rPh sb="26" eb="28">
      <t>イジ</t>
    </rPh>
    <rPh sb="28" eb="29">
      <t>シャ</t>
    </rPh>
    <rPh sb="35" eb="37">
      <t>セイケイ</t>
    </rPh>
    <rPh sb="37" eb="39">
      <t>イジ</t>
    </rPh>
    <rPh sb="39" eb="40">
      <t>シャ</t>
    </rPh>
    <rPh sb="42" eb="45">
      <t>ハイグウシャ</t>
    </rPh>
    <rPh sb="48" eb="50">
      <t>バアイ</t>
    </rPh>
    <rPh sb="52" eb="53">
      <t>クワ</t>
    </rPh>
    <rPh sb="55" eb="58">
      <t>ハイグウシャ</t>
    </rPh>
    <rPh sb="59" eb="62">
      <t>ダイガクイン</t>
    </rPh>
    <rPh sb="63" eb="65">
      <t>バアイ</t>
    </rPh>
    <rPh sb="66" eb="68">
      <t>ホンニン</t>
    </rPh>
    <rPh sb="68" eb="69">
      <t>オヨ</t>
    </rPh>
    <rPh sb="70" eb="73">
      <t>ハイグウシャ</t>
    </rPh>
    <rPh sb="74" eb="76">
      <t>イカ</t>
    </rPh>
    <rPh sb="76" eb="77">
      <t>オナ</t>
    </rPh>
    <rPh sb="84" eb="86">
      <t>キュウヨ</t>
    </rPh>
    <rPh sb="86" eb="88">
      <t>シュウニュウ</t>
    </rPh>
    <rPh sb="89" eb="91">
      <t>コウテキ</t>
    </rPh>
    <rPh sb="91" eb="93">
      <t>ネンキン</t>
    </rPh>
    <rPh sb="93" eb="94">
      <t>トウ</t>
    </rPh>
    <rPh sb="95" eb="97">
      <t>ロウレイ</t>
    </rPh>
    <rPh sb="97" eb="99">
      <t>ネンキン</t>
    </rPh>
    <rPh sb="100" eb="102">
      <t>シュウニュウ</t>
    </rPh>
    <rPh sb="105" eb="107">
      <t>イガイ</t>
    </rPh>
    <rPh sb="108" eb="110">
      <t>ショトク</t>
    </rPh>
    <rPh sb="116" eb="118">
      <t>ツウカ</t>
    </rPh>
    <rPh sb="119" eb="121">
      <t>キンガク</t>
    </rPh>
    <rPh sb="122" eb="124">
      <t>ニュウリョク</t>
    </rPh>
    <rPh sb="133" eb="135">
      <t>モウシコ</t>
    </rPh>
    <rPh sb="135" eb="137">
      <t>クブン</t>
    </rPh>
    <rPh sb="138" eb="139">
      <t>モト</t>
    </rPh>
    <rPh sb="141" eb="143">
      <t>シンコク</t>
    </rPh>
    <rPh sb="150" eb="151">
      <t>ガツ</t>
    </rPh>
    <rPh sb="152" eb="153">
      <t>ニチ</t>
    </rPh>
    <rPh sb="156" eb="157">
      <t>ガツ</t>
    </rPh>
    <rPh sb="159" eb="160">
      <t>ニチ</t>
    </rPh>
    <rPh sb="161" eb="162">
      <t>エ</t>
    </rPh>
    <rPh sb="163" eb="165">
      <t>シュウニュウ</t>
    </rPh>
    <rPh sb="166" eb="168">
      <t>ショトク</t>
    </rPh>
    <rPh sb="170" eb="172">
      <t>ガッサン</t>
    </rPh>
    <rPh sb="172" eb="173">
      <t>ガク</t>
    </rPh>
    <rPh sb="185" eb="187">
      <t>ゲツブン</t>
    </rPh>
    <rPh sb="188" eb="190">
      <t>テイシュツ</t>
    </rPh>
    <rPh sb="191" eb="193">
      <t>コンナン</t>
    </rPh>
    <rPh sb="194" eb="196">
      <t>バアイ</t>
    </rPh>
    <rPh sb="200" eb="201">
      <t>ガツ</t>
    </rPh>
    <rPh sb="204" eb="206">
      <t>ガツブン</t>
    </rPh>
    <rPh sb="207" eb="209">
      <t>シュウニュウ</t>
    </rPh>
    <rPh sb="210" eb="212">
      <t>ショトク</t>
    </rPh>
    <rPh sb="214" eb="216">
      <t>ガッサン</t>
    </rPh>
    <rPh sb="216" eb="217">
      <t>ガク</t>
    </rPh>
    <rPh sb="219" eb="220">
      <t>バイ</t>
    </rPh>
    <rPh sb="221" eb="223">
      <t>ニュウリョク</t>
    </rPh>
    <rPh sb="227" eb="228">
      <t>ガツ</t>
    </rPh>
    <rPh sb="231" eb="233">
      <t>ガツブン</t>
    </rPh>
    <rPh sb="247" eb="248">
      <t>カ</t>
    </rPh>
    <rPh sb="260" eb="262">
      <t>キュウヨ</t>
    </rPh>
    <rPh sb="265" eb="267">
      <t>ショトク</t>
    </rPh>
    <rPh sb="268" eb="270">
      <t>ジギョウ</t>
    </rPh>
    <rPh sb="270" eb="272">
      <t>ショトク</t>
    </rPh>
    <rPh sb="273" eb="276">
      <t>フドウサン</t>
    </rPh>
    <rPh sb="276" eb="278">
      <t>ショトク</t>
    </rPh>
    <rPh sb="279" eb="281">
      <t>ジョウト</t>
    </rPh>
    <rPh sb="281" eb="283">
      <t>ショトク</t>
    </rPh>
    <rPh sb="284" eb="286">
      <t>ハイトウ</t>
    </rPh>
    <rPh sb="286" eb="288">
      <t>ショトク</t>
    </rPh>
    <rPh sb="288" eb="289">
      <t>トウ</t>
    </rPh>
    <rPh sb="291" eb="293">
      <t>キュウヨ</t>
    </rPh>
    <rPh sb="293" eb="295">
      <t>シュウニュウ</t>
    </rPh>
    <rPh sb="295" eb="297">
      <t>キンガク</t>
    </rPh>
    <rPh sb="298" eb="299">
      <t>フク</t>
    </rPh>
    <rPh sb="313" eb="315">
      <t>コウテキ</t>
    </rPh>
    <rPh sb="315" eb="317">
      <t>ネンキン</t>
    </rPh>
    <rPh sb="317" eb="318">
      <t>トウ</t>
    </rPh>
    <rPh sb="320" eb="322">
      <t>ロウレイ</t>
    </rPh>
    <rPh sb="322" eb="324">
      <t>ネンキン</t>
    </rPh>
    <rPh sb="325" eb="326">
      <t>サ</t>
    </rPh>
    <rPh sb="330" eb="332">
      <t>イゾク</t>
    </rPh>
    <rPh sb="332" eb="334">
      <t>ネンキン</t>
    </rPh>
    <rPh sb="335" eb="337">
      <t>ショウガイ</t>
    </rPh>
    <rPh sb="337" eb="339">
      <t>ネンキン</t>
    </rPh>
    <rPh sb="343" eb="345">
      <t>セイド</t>
    </rPh>
    <rPh sb="346" eb="347">
      <t>フク</t>
    </rPh>
    <rPh sb="355" eb="357">
      <t>キュウヨ</t>
    </rPh>
    <rPh sb="358" eb="360">
      <t>ネンキン</t>
    </rPh>
    <rPh sb="360" eb="362">
      <t>イガイ</t>
    </rPh>
    <rPh sb="363" eb="365">
      <t>ショトク</t>
    </rPh>
    <rPh sb="369" eb="371">
      <t>ジギョウ</t>
    </rPh>
    <rPh sb="371" eb="373">
      <t>ショトク</t>
    </rPh>
    <rPh sb="374" eb="377">
      <t>フドウサン</t>
    </rPh>
    <rPh sb="377" eb="379">
      <t>ショトク</t>
    </rPh>
    <rPh sb="380" eb="382">
      <t>ジョウト</t>
    </rPh>
    <rPh sb="382" eb="384">
      <t>ショトク</t>
    </rPh>
    <rPh sb="385" eb="387">
      <t>ハイトウ</t>
    </rPh>
    <rPh sb="387" eb="389">
      <t>ショトク</t>
    </rPh>
    <rPh sb="389" eb="390">
      <t>トウ</t>
    </rPh>
    <rPh sb="391" eb="393">
      <t>ゴウケイ</t>
    </rPh>
    <rPh sb="393" eb="394">
      <t>ガク</t>
    </rPh>
    <rPh sb="395" eb="397">
      <t>ニュウリョク</t>
    </rPh>
    <phoneticPr fontId="2"/>
  </si>
  <si>
    <t>19～22歳の特定親族の数</t>
    <rPh sb="5" eb="6">
      <t>サイ</t>
    </rPh>
    <rPh sb="7" eb="9">
      <t>トクテイ</t>
    </rPh>
    <rPh sb="9" eb="11">
      <t>シンゾク</t>
    </rPh>
    <rPh sb="12" eb="13">
      <t>カズ</t>
    </rPh>
    <phoneticPr fontId="1"/>
  </si>
  <si>
    <t>32</t>
  </si>
  <si>
    <t>33</t>
  </si>
  <si>
    <t>34</t>
  </si>
  <si>
    <t>35</t>
  </si>
  <si>
    <t>36</t>
  </si>
  <si>
    <t>37</t>
  </si>
  <si>
    <t>38</t>
  </si>
  <si>
    <t>39</t>
  </si>
  <si>
    <t>40</t>
  </si>
  <si>
    <t>41</t>
  </si>
  <si>
    <t>42</t>
  </si>
  <si>
    <t>43</t>
  </si>
  <si>
    <t>44</t>
  </si>
  <si>
    <t>45</t>
  </si>
  <si>
    <t>46</t>
  </si>
  <si>
    <t>48</t>
    <phoneticPr fontId="2"/>
  </si>
  <si>
    <t>海外居住者のための収入等申告書（別紙）</t>
    <rPh sb="0" eb="2">
      <t>カイガイ</t>
    </rPh>
    <rPh sb="2" eb="5">
      <t>キョジュウシャ</t>
    </rPh>
    <rPh sb="9" eb="11">
      <t>シュウニュウ</t>
    </rPh>
    <rPh sb="11" eb="12">
      <t>トウ</t>
    </rPh>
    <rPh sb="12" eb="14">
      <t>シンコク</t>
    </rPh>
    <rPh sb="14" eb="15">
      <t>ショ</t>
    </rPh>
    <rPh sb="16" eb="18">
      <t>ベッシ</t>
    </rPh>
    <phoneticPr fontId="2"/>
  </si>
  <si>
    <t>給与以外の所得の通貨</t>
    <rPh sb="0" eb="2">
      <t>キュウヨ</t>
    </rPh>
    <rPh sb="2" eb="4">
      <t>イガイ</t>
    </rPh>
    <rPh sb="5" eb="7">
      <t>ショトク</t>
    </rPh>
    <rPh sb="8" eb="10">
      <t>ツウカ</t>
    </rPh>
    <phoneticPr fontId="2"/>
  </si>
  <si>
    <t>　給与以外の所得の金額</t>
    <rPh sb="1" eb="3">
      <t>キュウヨ</t>
    </rPh>
    <rPh sb="3" eb="5">
      <t>イガイ</t>
    </rPh>
    <rPh sb="6" eb="8">
      <t>ショトク</t>
    </rPh>
    <rPh sb="9" eb="11">
      <t>キンガク</t>
    </rPh>
    <phoneticPr fontId="2"/>
  </si>
  <si>
    <t>生計維持者1</t>
    <rPh sb="0" eb="5">
      <t>セイケイイジシャ</t>
    </rPh>
    <phoneticPr fontId="2"/>
  </si>
  <si>
    <t>特定親族1</t>
    <rPh sb="0" eb="4">
      <t>トクテイシンゾク</t>
    </rPh>
    <phoneticPr fontId="2"/>
  </si>
  <si>
    <t>特定親族2</t>
    <rPh sb="0" eb="4">
      <t>トクテイシンゾク</t>
    </rPh>
    <phoneticPr fontId="2"/>
  </si>
  <si>
    <t>特定親族3</t>
    <rPh sb="0" eb="4">
      <t>トクテイシンゾク</t>
    </rPh>
    <phoneticPr fontId="2"/>
  </si>
  <si>
    <t>特定親族4</t>
    <rPh sb="0" eb="4">
      <t>トクテイシンゾク</t>
    </rPh>
    <phoneticPr fontId="2"/>
  </si>
  <si>
    <t>特定親族5</t>
    <rPh sb="0" eb="4">
      <t>トクテイシンゾク</t>
    </rPh>
    <phoneticPr fontId="2"/>
  </si>
  <si>
    <t>特定親族6</t>
    <rPh sb="0" eb="4">
      <t>トクテイシンゾク</t>
    </rPh>
    <phoneticPr fontId="2"/>
  </si>
  <si>
    <t>特定親族7</t>
    <rPh sb="0" eb="4">
      <t>トクテイシンゾク</t>
    </rPh>
    <phoneticPr fontId="2"/>
  </si>
  <si>
    <t>特定親族8</t>
    <rPh sb="0" eb="4">
      <t>トクテイシンゾク</t>
    </rPh>
    <phoneticPr fontId="2"/>
  </si>
  <si>
    <t>特定親族9</t>
    <rPh sb="0" eb="4">
      <t>トクテイシンゾク</t>
    </rPh>
    <phoneticPr fontId="2"/>
  </si>
  <si>
    <t>生計維持者2</t>
    <rPh sb="0" eb="5">
      <t>セイケイイジシャ</t>
    </rPh>
    <phoneticPr fontId="2"/>
  </si>
  <si>
    <t>多子こどもフラグ</t>
    <rPh sb="0" eb="2">
      <t>タシ</t>
    </rPh>
    <phoneticPr fontId="2"/>
  </si>
  <si>
    <t>控除額</t>
    <rPh sb="0" eb="2">
      <t>コウジョ</t>
    </rPh>
    <rPh sb="2" eb="3">
      <t>ガク</t>
    </rPh>
    <phoneticPr fontId="2"/>
  </si>
  <si>
    <t>存在フラグ</t>
    <rPh sb="0" eb="2">
      <t>ソンザイ</t>
    </rPh>
    <phoneticPr fontId="2"/>
  </si>
  <si>
    <t>実は扶養親族フラグ</t>
    <rPh sb="0" eb="1">
      <t>ジツ</t>
    </rPh>
    <rPh sb="2" eb="4">
      <t>フヨウ</t>
    </rPh>
    <rPh sb="4" eb="6">
      <t>シンゾク</t>
    </rPh>
    <phoneticPr fontId="2"/>
  </si>
  <si>
    <t>扶養親族のための所得区分(R8.10～)</t>
    <rPh sb="0" eb="2">
      <t>フヨウ</t>
    </rPh>
    <rPh sb="2" eb="4">
      <t>シンゾク</t>
    </rPh>
    <rPh sb="8" eb="10">
      <t>ショトク</t>
    </rPh>
    <rPh sb="10" eb="12">
      <t>クブン</t>
    </rPh>
    <phoneticPr fontId="2"/>
  </si>
  <si>
    <t>合計控除額</t>
    <rPh sb="0" eb="2">
      <t>ゴウケイ</t>
    </rPh>
    <rPh sb="2" eb="4">
      <t>コウジョ</t>
    </rPh>
    <rPh sb="4" eb="5">
      <t>ガク</t>
    </rPh>
    <phoneticPr fontId="2"/>
  </si>
  <si>
    <t>報告省令レート（令和8年1月分）</t>
    <phoneticPr fontId="4"/>
  </si>
  <si>
    <t>[令和8年1月中において適用]</t>
    <phoneticPr fontId="4"/>
  </si>
  <si>
    <t>0.711</t>
  </si>
  <si>
    <t>0.141</t>
  </si>
  <si>
    <t>0.105</t>
  </si>
  <si>
    <t>1.31</t>
  </si>
  <si>
    <t>1.16</t>
  </si>
  <si>
    <t>0.000700</t>
  </si>
  <si>
    <t>0.307</t>
  </si>
  <si>
    <t>0.0113</t>
  </si>
  <si>
    <t>0.00599</t>
  </si>
  <si>
    <t>0.0685</t>
  </si>
  <si>
    <t>0.0249</t>
  </si>
  <si>
    <t>3.26</t>
  </si>
  <si>
    <t>0.00773</t>
  </si>
  <si>
    <t>0.0265</t>
  </si>
  <si>
    <t>0.768</t>
  </si>
  <si>
    <t>3.21</t>
  </si>
  <si>
    <t>0.327</t>
  </si>
  <si>
    <t>0.0706</t>
  </si>
  <si>
    <t>0.969</t>
  </si>
  <si>
    <t>0.0477</t>
  </si>
  <si>
    <t>0.107</t>
  </si>
  <si>
    <t>0.155</t>
  </si>
  <si>
    <t>0.0237</t>
  </si>
  <si>
    <t>0.000692</t>
  </si>
  <si>
    <t>0.565</t>
  </si>
  <si>
    <t>0.00355</t>
  </si>
  <si>
    <t>0.818</t>
  </si>
  <si>
    <t>0.236</t>
  </si>
  <si>
    <t>0.301</t>
  </si>
  <si>
    <t>0.819</t>
  </si>
  <si>
    <t>0.436</t>
  </si>
  <si>
    <t>0.187</t>
  </si>
  <si>
    <t>0.00380</t>
  </si>
  <si>
    <t>0.00434</t>
  </si>
  <si>
    <t>0.297</t>
  </si>
  <si>
    <t>0.273</t>
  </si>
  <si>
    <t>0.241</t>
  </si>
  <si>
    <t>0.0580</t>
  </si>
  <si>
    <t>0.0543</t>
  </si>
  <si>
    <t>0.0217</t>
  </si>
  <si>
    <t>0.108</t>
  </si>
  <si>
    <t>0.00461</t>
  </si>
  <si>
    <t>0.227</t>
  </si>
  <si>
    <t>0.0690</t>
  </si>
  <si>
    <t>0.0125</t>
  </si>
  <si>
    <t>（令和7年11月中における実勢相場の平均値）</t>
    <phoneticPr fontId="4"/>
  </si>
  <si>
    <t>年金以外の合計所得金額基準１</t>
    <rPh sb="0" eb="2">
      <t>ネンキン</t>
    </rPh>
    <rPh sb="2" eb="4">
      <t>イガイ</t>
    </rPh>
    <rPh sb="5" eb="7">
      <t>ゴウケイ</t>
    </rPh>
    <rPh sb="7" eb="9">
      <t>ショトク</t>
    </rPh>
    <rPh sb="9" eb="11">
      <t>キンガク</t>
    </rPh>
    <rPh sb="11" eb="13">
      <t>キジュン</t>
    </rPh>
    <phoneticPr fontId="2"/>
  </si>
  <si>
    <t>年金以外の合計所得金額基準２</t>
    <rPh sb="0" eb="2">
      <t>ネンキン</t>
    </rPh>
    <rPh sb="2" eb="4">
      <t>イガイ</t>
    </rPh>
    <rPh sb="5" eb="7">
      <t>ゴウケイ</t>
    </rPh>
    <rPh sb="7" eb="9">
      <t>ショトク</t>
    </rPh>
    <rPh sb="9" eb="11">
      <t>キンガク</t>
    </rPh>
    <rPh sb="11" eb="13">
      <t>キジュン</t>
    </rPh>
    <phoneticPr fontId="2"/>
  </si>
  <si>
    <t>年金以外の合計所得金額に基づく一律控除見直し１</t>
    <rPh sb="0" eb="2">
      <t>ネンキン</t>
    </rPh>
    <rPh sb="2" eb="4">
      <t>イガイ</t>
    </rPh>
    <rPh sb="5" eb="7">
      <t>ゴウケイ</t>
    </rPh>
    <rPh sb="7" eb="9">
      <t>ショトク</t>
    </rPh>
    <rPh sb="9" eb="11">
      <t>キンガク</t>
    </rPh>
    <rPh sb="12" eb="13">
      <t>モト</t>
    </rPh>
    <rPh sb="15" eb="17">
      <t>イチリツ</t>
    </rPh>
    <rPh sb="17" eb="19">
      <t>コウジョ</t>
    </rPh>
    <rPh sb="19" eb="21">
      <t>ミナオ</t>
    </rPh>
    <phoneticPr fontId="2"/>
  </si>
  <si>
    <t>年金以外の合計所得金額に基づく一律控除見直し２</t>
    <rPh sb="0" eb="2">
      <t>ネンキン</t>
    </rPh>
    <rPh sb="2" eb="4">
      <t>イガイ</t>
    </rPh>
    <rPh sb="5" eb="7">
      <t>ゴウケイ</t>
    </rPh>
    <rPh sb="7" eb="9">
      <t>ショトク</t>
    </rPh>
    <rPh sb="9" eb="11">
      <t>キンガク</t>
    </rPh>
    <rPh sb="12" eb="13">
      <t>モト</t>
    </rPh>
    <rPh sb="15" eb="17">
      <t>イチリツ</t>
    </rPh>
    <rPh sb="17" eb="19">
      <t>コウジョ</t>
    </rPh>
    <rPh sb="19" eb="21">
      <t>ミナオ</t>
    </rPh>
    <phoneticPr fontId="2"/>
  </si>
  <si>
    <t>65歳以上の年金所得額計算1</t>
    <rPh sb="2" eb="3">
      <t>サイ</t>
    </rPh>
    <rPh sb="3" eb="5">
      <t>イジョウ</t>
    </rPh>
    <rPh sb="6" eb="8">
      <t>ネンキン</t>
    </rPh>
    <rPh sb="8" eb="10">
      <t>ショトク</t>
    </rPh>
    <rPh sb="10" eb="11">
      <t>ガク</t>
    </rPh>
    <rPh sb="11" eb="13">
      <t>ケイサン</t>
    </rPh>
    <phoneticPr fontId="2"/>
  </si>
  <si>
    <t>65歳以上の年金所得額計算2</t>
    <rPh sb="2" eb="3">
      <t>サイ</t>
    </rPh>
    <rPh sb="3" eb="5">
      <t>イジョウ</t>
    </rPh>
    <rPh sb="6" eb="8">
      <t>ネンキン</t>
    </rPh>
    <rPh sb="8" eb="10">
      <t>ショトク</t>
    </rPh>
    <rPh sb="10" eb="11">
      <t>ガク</t>
    </rPh>
    <phoneticPr fontId="2"/>
  </si>
  <si>
    <t>65歳以上の年金所得額計算3</t>
    <rPh sb="2" eb="3">
      <t>サイ</t>
    </rPh>
    <rPh sb="3" eb="5">
      <t>イジョウ</t>
    </rPh>
    <rPh sb="6" eb="8">
      <t>ネンキン</t>
    </rPh>
    <rPh sb="8" eb="10">
      <t>ショトク</t>
    </rPh>
    <rPh sb="10" eb="11">
      <t>ガク</t>
    </rPh>
    <phoneticPr fontId="2"/>
  </si>
  <si>
    <t>65歳以上の年金所得額計算4</t>
    <rPh sb="2" eb="3">
      <t>サイ</t>
    </rPh>
    <rPh sb="3" eb="5">
      <t>イジョウ</t>
    </rPh>
    <rPh sb="6" eb="8">
      <t>ネンキン</t>
    </rPh>
    <rPh sb="8" eb="10">
      <t>ショトク</t>
    </rPh>
    <rPh sb="10" eb="11">
      <t>ガク</t>
    </rPh>
    <phoneticPr fontId="2"/>
  </si>
  <si>
    <t>65歳以上の年金所得額計算5(平成33年度より使用)</t>
    <rPh sb="2" eb="3">
      <t>サイ</t>
    </rPh>
    <rPh sb="3" eb="5">
      <t>イジョウ</t>
    </rPh>
    <rPh sb="6" eb="8">
      <t>ネンキン</t>
    </rPh>
    <rPh sb="8" eb="10">
      <t>ショトク</t>
    </rPh>
    <rPh sb="10" eb="11">
      <t>ガク</t>
    </rPh>
    <phoneticPr fontId="2"/>
  </si>
  <si>
    <t>65歳未満の年金所得額計算1</t>
    <rPh sb="2" eb="3">
      <t>サイ</t>
    </rPh>
    <rPh sb="3" eb="5">
      <t>ミマン</t>
    </rPh>
    <rPh sb="6" eb="8">
      <t>ネンキン</t>
    </rPh>
    <rPh sb="8" eb="10">
      <t>ショトク</t>
    </rPh>
    <rPh sb="10" eb="11">
      <t>ガク</t>
    </rPh>
    <rPh sb="11" eb="13">
      <t>ケイサン</t>
    </rPh>
    <phoneticPr fontId="2"/>
  </si>
  <si>
    <t>65歳未満の年金所得額計算2</t>
    <rPh sb="2" eb="3">
      <t>サイ</t>
    </rPh>
    <rPh sb="6" eb="8">
      <t>ネンキン</t>
    </rPh>
    <rPh sb="8" eb="10">
      <t>ショトク</t>
    </rPh>
    <rPh sb="10" eb="11">
      <t>ガク</t>
    </rPh>
    <phoneticPr fontId="2"/>
  </si>
  <si>
    <t>65歳未満の年金所得額計算3</t>
    <rPh sb="2" eb="3">
      <t>サイ</t>
    </rPh>
    <rPh sb="6" eb="8">
      <t>ネンキン</t>
    </rPh>
    <rPh sb="8" eb="10">
      <t>ショトク</t>
    </rPh>
    <rPh sb="10" eb="11">
      <t>ガク</t>
    </rPh>
    <phoneticPr fontId="2"/>
  </si>
  <si>
    <t>65歳未満の年金所得額計算4</t>
    <rPh sb="2" eb="3">
      <t>サイ</t>
    </rPh>
    <rPh sb="6" eb="8">
      <t>ネンキン</t>
    </rPh>
    <rPh sb="8" eb="10">
      <t>ショトク</t>
    </rPh>
    <rPh sb="10" eb="11">
      <t>ガク</t>
    </rPh>
    <phoneticPr fontId="2"/>
  </si>
  <si>
    <t>65歳未満の年金所得額計算5(平成33年度より使用)</t>
    <rPh sb="2" eb="3">
      <t>サイ</t>
    </rPh>
    <rPh sb="6" eb="8">
      <t>ネンキン</t>
    </rPh>
    <rPh sb="8" eb="10">
      <t>ショトク</t>
    </rPh>
    <rPh sb="10" eb="11">
      <t>ガク</t>
    </rPh>
    <phoneticPr fontId="2"/>
  </si>
  <si>
    <t>65歳以上の年金所得額計算倍率2</t>
    <rPh sb="2" eb="3">
      <t>サイ</t>
    </rPh>
    <rPh sb="3" eb="5">
      <t>イジョウ</t>
    </rPh>
    <rPh sb="6" eb="8">
      <t>ネンキン</t>
    </rPh>
    <rPh sb="8" eb="10">
      <t>ショトク</t>
    </rPh>
    <rPh sb="10" eb="11">
      <t>ガク</t>
    </rPh>
    <rPh sb="11" eb="13">
      <t>ケイサン</t>
    </rPh>
    <rPh sb="13" eb="15">
      <t>バイリツ</t>
    </rPh>
    <phoneticPr fontId="2"/>
  </si>
  <si>
    <t>65歳以上の年金所得額計算倍率3</t>
    <rPh sb="2" eb="3">
      <t>サイ</t>
    </rPh>
    <rPh sb="3" eb="5">
      <t>イジョウ</t>
    </rPh>
    <rPh sb="6" eb="8">
      <t>ネンキン</t>
    </rPh>
    <rPh sb="8" eb="10">
      <t>ショトク</t>
    </rPh>
    <rPh sb="10" eb="11">
      <t>ガク</t>
    </rPh>
    <phoneticPr fontId="2"/>
  </si>
  <si>
    <t>65歳以上の年金所得額計算倍率4</t>
    <rPh sb="2" eb="3">
      <t>サイ</t>
    </rPh>
    <rPh sb="3" eb="5">
      <t>イジョウ</t>
    </rPh>
    <rPh sb="6" eb="8">
      <t>ネンキン</t>
    </rPh>
    <rPh sb="8" eb="10">
      <t>ショトク</t>
    </rPh>
    <rPh sb="10" eb="11">
      <t>ガク</t>
    </rPh>
    <phoneticPr fontId="2"/>
  </si>
  <si>
    <t>65歳未満の年金所得額計算倍率2</t>
    <rPh sb="2" eb="3">
      <t>サイ</t>
    </rPh>
    <rPh sb="6" eb="8">
      <t>ネンキン</t>
    </rPh>
    <rPh sb="8" eb="10">
      <t>ショトク</t>
    </rPh>
    <rPh sb="10" eb="11">
      <t>ガク</t>
    </rPh>
    <phoneticPr fontId="2"/>
  </si>
  <si>
    <t>65歳未満の年金所得額計算倍率3</t>
    <rPh sb="2" eb="3">
      <t>サイ</t>
    </rPh>
    <rPh sb="6" eb="8">
      <t>ネンキン</t>
    </rPh>
    <rPh sb="8" eb="10">
      <t>ショトク</t>
    </rPh>
    <rPh sb="10" eb="11">
      <t>ガク</t>
    </rPh>
    <phoneticPr fontId="2"/>
  </si>
  <si>
    <t>65歳未満の年金所得額計算倍率4</t>
    <rPh sb="2" eb="3">
      <t>サイ</t>
    </rPh>
    <rPh sb="6" eb="8">
      <t>ネンキン</t>
    </rPh>
    <rPh sb="8" eb="10">
      <t>ショトク</t>
    </rPh>
    <rPh sb="10" eb="11">
      <t>ガク</t>
    </rPh>
    <phoneticPr fontId="2"/>
  </si>
  <si>
    <t>給与所得控除のための給与収入区分(R8.10～)</t>
    <rPh sb="0" eb="2">
      <t>キュウヨ</t>
    </rPh>
    <rPh sb="2" eb="4">
      <t>ショトク</t>
    </rPh>
    <rPh sb="4" eb="6">
      <t>コウジョ</t>
    </rPh>
    <rPh sb="10" eb="12">
      <t>キュウヨ</t>
    </rPh>
    <rPh sb="12" eb="14">
      <t>シュウニュウ</t>
    </rPh>
    <rPh sb="14" eb="16">
      <t>クブン</t>
    </rPh>
    <phoneticPr fontId="2"/>
  </si>
  <si>
    <t>1900000未満の給与所得金額計算(R8.10～)</t>
    <rPh sb="7" eb="9">
      <t>ミマン</t>
    </rPh>
    <rPh sb="10" eb="12">
      <t>キュウヨ</t>
    </rPh>
    <rPh sb="12" eb="14">
      <t>ショトク</t>
    </rPh>
    <rPh sb="14" eb="16">
      <t>キンガク</t>
    </rPh>
    <rPh sb="16" eb="18">
      <t>ケイサン</t>
    </rPh>
    <phoneticPr fontId="2"/>
  </si>
  <si>
    <t>特定扶養親族に加算</t>
    <rPh sb="0" eb="2">
      <t>トクテイ</t>
    </rPh>
    <rPh sb="2" eb="4">
      <t>フヨウ</t>
    </rPh>
    <rPh sb="4" eb="6">
      <t>シンゾク</t>
    </rPh>
    <rPh sb="7" eb="9">
      <t>カサン</t>
    </rPh>
    <phoneticPr fontId="2"/>
  </si>
  <si>
    <t>特定親族の「子供」</t>
    <rPh sb="0" eb="2">
      <t>トクテイ</t>
    </rPh>
    <rPh sb="2" eb="4">
      <t>シンゾク</t>
    </rPh>
    <rPh sb="6" eb="8">
      <t>コドモ</t>
    </rPh>
    <phoneticPr fontId="2"/>
  </si>
  <si>
    <t>本人</t>
    <rPh sb="0" eb="2">
      <t>ホンニン</t>
    </rPh>
    <phoneticPr fontId="2"/>
  </si>
  <si>
    <t>特定親族フラグ</t>
    <rPh sb="0" eb="2">
      <t>トクテイ</t>
    </rPh>
    <rPh sb="2" eb="4">
      <t>シンゾク</t>
    </rPh>
    <phoneticPr fontId="2"/>
  </si>
  <si>
    <t>特定親族特別控除</t>
    <rPh sb="0" eb="2">
      <t>トクテイ</t>
    </rPh>
    <rPh sb="2" eb="8">
      <t>シンゾクトクベツコウジョ</t>
    </rPh>
    <phoneticPr fontId="2"/>
  </si>
  <si>
    <t>早生まれ特定親族</t>
    <rPh sb="0" eb="2">
      <t>ハヤウ</t>
    </rPh>
    <rPh sb="4" eb="6">
      <t>トクテイ</t>
    </rPh>
    <rPh sb="6" eb="8">
      <t>シンゾク</t>
    </rPh>
    <phoneticPr fontId="2"/>
  </si>
  <si>
    <t>早生まれ特特控除額</t>
    <rPh sb="0" eb="2">
      <t>ハヤウ</t>
    </rPh>
    <rPh sb="4" eb="5">
      <t>トク</t>
    </rPh>
    <rPh sb="5" eb="6">
      <t>トク</t>
    </rPh>
    <rPh sb="6" eb="8">
      <t>コウジョ</t>
    </rPh>
    <rPh sb="8" eb="9">
      <t>ガク</t>
    </rPh>
    <phoneticPr fontId="2"/>
  </si>
  <si>
    <t>計算上の扶養者</t>
    <rPh sb="0" eb="2">
      <t>ケイサン</t>
    </rPh>
    <rPh sb="2" eb="3">
      <t>ジョウ</t>
    </rPh>
    <rPh sb="4" eb="7">
      <t>フヨウシャ</t>
    </rPh>
    <phoneticPr fontId="2"/>
  </si>
  <si>
    <t>本人分特定親族特別控除(含早生まれ)</t>
    <rPh sb="0" eb="3">
      <t>ホンニンブン</t>
    </rPh>
    <rPh sb="3" eb="7">
      <t>トクテイシンゾク</t>
    </rPh>
    <rPh sb="7" eb="9">
      <t>トクベツ</t>
    </rPh>
    <rPh sb="9" eb="11">
      <t>コウジョ</t>
    </rPh>
    <rPh sb="12" eb="13">
      <t>フク</t>
    </rPh>
    <rPh sb="13" eb="15">
      <t>ハヤウ</t>
    </rPh>
    <phoneticPr fontId="2"/>
  </si>
  <si>
    <t>★今回の税制改正は年収190万円以下にしか関係ないため、税制改正フラグ(C51)が1かつ年収190万円以下の場合と、それ以外の場合で分岐させている</t>
    <rPh sb="1" eb="3">
      <t>コンカイ</t>
    </rPh>
    <rPh sb="4" eb="8">
      <t>ゼイセイカイセイ</t>
    </rPh>
    <rPh sb="9" eb="11">
      <t>ネンシュウ</t>
    </rPh>
    <rPh sb="14" eb="16">
      <t>マンエン</t>
    </rPh>
    <rPh sb="16" eb="18">
      <t>イカ</t>
    </rPh>
    <rPh sb="21" eb="23">
      <t>カンケイ</t>
    </rPh>
    <rPh sb="28" eb="30">
      <t>ゼイセイ</t>
    </rPh>
    <rPh sb="30" eb="32">
      <t>カイセイ</t>
    </rPh>
    <rPh sb="44" eb="46">
      <t>ネンシュウ</t>
    </rPh>
    <rPh sb="49" eb="51">
      <t>マンエン</t>
    </rPh>
    <rPh sb="51" eb="53">
      <t>イカ</t>
    </rPh>
    <rPh sb="54" eb="56">
      <t>バアイ</t>
    </rPh>
    <rPh sb="60" eb="62">
      <t>イガイ</t>
    </rPh>
    <rPh sb="63" eb="65">
      <t>バアイ</t>
    </rPh>
    <rPh sb="66" eb="68">
      <t>ブンキ</t>
    </rPh>
    <phoneticPr fontId="2"/>
  </si>
  <si>
    <t>今回の税制改正で変更は無いが、税制改正フラグ(C51)の意味を変えたことで以前の式(もっと昔の税制改正で式を変えていた)が成り立たなくなったため、修正</t>
    <rPh sb="0" eb="2">
      <t>コンカイ</t>
    </rPh>
    <rPh sb="3" eb="7">
      <t>ゼイセイカイセイ</t>
    </rPh>
    <rPh sb="8" eb="10">
      <t>ヘンコウ</t>
    </rPh>
    <rPh sb="11" eb="12">
      <t>ナ</t>
    </rPh>
    <rPh sb="28" eb="30">
      <t>イミ</t>
    </rPh>
    <rPh sb="31" eb="32">
      <t>カ</t>
    </rPh>
    <rPh sb="37" eb="39">
      <t>イゼン</t>
    </rPh>
    <rPh sb="40" eb="41">
      <t>シキ</t>
    </rPh>
    <rPh sb="45" eb="46">
      <t>ムカシ</t>
    </rPh>
    <rPh sb="47" eb="49">
      <t>ゼイセイ</t>
    </rPh>
    <rPh sb="49" eb="51">
      <t>カイセイ</t>
    </rPh>
    <rPh sb="52" eb="53">
      <t>シキ</t>
    </rPh>
    <rPh sb="54" eb="55">
      <t>カ</t>
    </rPh>
    <rPh sb="61" eb="62">
      <t>ナ</t>
    </rPh>
    <rPh sb="63" eb="64">
      <t>タ</t>
    </rPh>
    <rPh sb="73" eb="75">
      <t>シュウセイ</t>
    </rPh>
    <phoneticPr fontId="2"/>
  </si>
  <si>
    <t>修正メモ(202602)　　　　★は税制改正に大きく関連する修正(無印はハネ修正的なもの)</t>
    <rPh sb="0" eb="2">
      <t>シュウセイ</t>
    </rPh>
    <rPh sb="18" eb="20">
      <t>ゼイセイ</t>
    </rPh>
    <rPh sb="20" eb="22">
      <t>カイセイ</t>
    </rPh>
    <rPh sb="23" eb="24">
      <t>オオ</t>
    </rPh>
    <rPh sb="26" eb="28">
      <t>カンレン</t>
    </rPh>
    <rPh sb="30" eb="32">
      <t>シュウセイ</t>
    </rPh>
    <rPh sb="33" eb="34">
      <t>ム</t>
    </rPh>
    <rPh sb="34" eb="35">
      <t>ジルシ</t>
    </rPh>
    <rPh sb="38" eb="40">
      <t>シュウセイ</t>
    </rPh>
    <rPh sb="40" eb="41">
      <t>テキ</t>
    </rPh>
    <phoneticPr fontId="2"/>
  </si>
  <si>
    <t>★「特定親族だと思って申告したが、所得を計算したら特定扶養親族だった」というケースを想定し、計算シート2でそのチェックをした結果を足している</t>
    <rPh sb="2" eb="4">
      <t>トクテイ</t>
    </rPh>
    <rPh sb="4" eb="6">
      <t>シンゾク</t>
    </rPh>
    <rPh sb="8" eb="9">
      <t>オモ</t>
    </rPh>
    <rPh sb="11" eb="13">
      <t>シンコク</t>
    </rPh>
    <rPh sb="17" eb="19">
      <t>ショトク</t>
    </rPh>
    <rPh sb="20" eb="22">
      <t>ケイサン</t>
    </rPh>
    <rPh sb="25" eb="27">
      <t>トクテイ</t>
    </rPh>
    <rPh sb="27" eb="29">
      <t>フヨウ</t>
    </rPh>
    <rPh sb="29" eb="31">
      <t>シンゾク</t>
    </rPh>
    <rPh sb="42" eb="44">
      <t>ソウテイ</t>
    </rPh>
    <rPh sb="46" eb="48">
      <t>ケイサン</t>
    </rPh>
    <rPh sb="62" eb="64">
      <t>ケッカ</t>
    </rPh>
    <rPh sb="65" eb="66">
      <t>タ</t>
    </rPh>
    <phoneticPr fontId="2"/>
  </si>
  <si>
    <t>★行追加。計算シート2で計算した特定親族特別控除の合計額(本人分を除く)</t>
    <rPh sb="1" eb="2">
      <t>ギョウ</t>
    </rPh>
    <rPh sb="2" eb="4">
      <t>ツイカ</t>
    </rPh>
    <rPh sb="5" eb="7">
      <t>ケイサン</t>
    </rPh>
    <rPh sb="12" eb="14">
      <t>ケイサン</t>
    </rPh>
    <rPh sb="16" eb="18">
      <t>トクテイ</t>
    </rPh>
    <rPh sb="18" eb="24">
      <t>シンゾクトクベツコウジョ</t>
    </rPh>
    <rPh sb="25" eb="27">
      <t>ゴウケイ</t>
    </rPh>
    <rPh sb="27" eb="28">
      <t>ガク</t>
    </rPh>
    <rPh sb="29" eb="31">
      <t>ホンニン</t>
    </rPh>
    <rPh sb="31" eb="32">
      <t>ブン</t>
    </rPh>
    <rPh sb="33" eb="34">
      <t>ノゾ</t>
    </rPh>
    <phoneticPr fontId="2"/>
  </si>
  <si>
    <t>★計算シート2で検出した「実は特定扶養親族」は非課税限度の計算などにも加える必要があるため、ここで加算</t>
    <rPh sb="1" eb="3">
      <t>ケイサン</t>
    </rPh>
    <rPh sb="8" eb="10">
      <t>ケンシュツ</t>
    </rPh>
    <rPh sb="13" eb="14">
      <t>ジツ</t>
    </rPh>
    <rPh sb="15" eb="17">
      <t>トクテイ</t>
    </rPh>
    <rPh sb="17" eb="19">
      <t>フヨウ</t>
    </rPh>
    <rPh sb="19" eb="21">
      <t>シンゾク</t>
    </rPh>
    <rPh sb="23" eb="26">
      <t>ヒカゼイ</t>
    </rPh>
    <rPh sb="26" eb="28">
      <t>ゲンド</t>
    </rPh>
    <rPh sb="29" eb="31">
      <t>ケイサン</t>
    </rPh>
    <rPh sb="35" eb="36">
      <t>クワ</t>
    </rPh>
    <rPh sb="38" eb="40">
      <t>ヒツヨウ</t>
    </rPh>
    <rPh sb="49" eb="51">
      <t>カサン</t>
    </rPh>
    <phoneticPr fontId="2"/>
  </si>
  <si>
    <t>式は修正していないが、意味合いが変わり、「特定親族早生まれのケースを除く、本人早生まれ控除の額」になった</t>
    <rPh sb="0" eb="1">
      <t>シキ</t>
    </rPh>
    <rPh sb="2" eb="4">
      <t>シュウセイ</t>
    </rPh>
    <rPh sb="11" eb="14">
      <t>イミア</t>
    </rPh>
    <rPh sb="16" eb="17">
      <t>カ</t>
    </rPh>
    <rPh sb="21" eb="25">
      <t>トクテイシンゾク</t>
    </rPh>
    <rPh sb="25" eb="27">
      <t>ハヤウ</t>
    </rPh>
    <rPh sb="34" eb="35">
      <t>ノゾ</t>
    </rPh>
    <rPh sb="37" eb="39">
      <t>ホンニン</t>
    </rPh>
    <rPh sb="39" eb="41">
      <t>ハヤウ</t>
    </rPh>
    <rPh sb="43" eb="45">
      <t>コウジョ</t>
    </rPh>
    <rPh sb="46" eb="47">
      <t>ガク</t>
    </rPh>
    <phoneticPr fontId="2"/>
  </si>
  <si>
    <t>★本人が特定親族の場合、「どちらの生計維持者に扶養されていますか」の質問に「扶養されていない」と答える可能性が高く、その場合「どちらの維持者から引けばいいか分からないため算定基準額が高い方から控除額を引く」という特殊処理が必要になる。例えば１つ上の値に混ぜたりしてしまうと、非常にややこしいため、独立して計算する。早生まれ特定親族特別控除も同様</t>
    <rPh sb="1" eb="3">
      <t>ホンニン</t>
    </rPh>
    <rPh sb="4" eb="8">
      <t>トクテイシンゾク</t>
    </rPh>
    <rPh sb="9" eb="11">
      <t>バアイ</t>
    </rPh>
    <rPh sb="34" eb="36">
      <t>シツモン</t>
    </rPh>
    <rPh sb="48" eb="49">
      <t>コタ</t>
    </rPh>
    <rPh sb="51" eb="54">
      <t>カノウセイ</t>
    </rPh>
    <rPh sb="55" eb="56">
      <t>タカ</t>
    </rPh>
    <rPh sb="60" eb="62">
      <t>バアイ</t>
    </rPh>
    <rPh sb="67" eb="69">
      <t>イジ</t>
    </rPh>
    <rPh sb="69" eb="70">
      <t>シャ</t>
    </rPh>
    <rPh sb="72" eb="73">
      <t>ヒ</t>
    </rPh>
    <rPh sb="78" eb="79">
      <t>ワ</t>
    </rPh>
    <rPh sb="85" eb="87">
      <t>サンテイ</t>
    </rPh>
    <rPh sb="87" eb="89">
      <t>キジュン</t>
    </rPh>
    <rPh sb="89" eb="90">
      <t>ガク</t>
    </rPh>
    <rPh sb="91" eb="92">
      <t>タカ</t>
    </rPh>
    <rPh sb="93" eb="94">
      <t>ホウ</t>
    </rPh>
    <rPh sb="96" eb="98">
      <t>コウジョ</t>
    </rPh>
    <rPh sb="98" eb="99">
      <t>ガク</t>
    </rPh>
    <rPh sb="100" eb="101">
      <t>ヒ</t>
    </rPh>
    <rPh sb="106" eb="108">
      <t>トクシュ</t>
    </rPh>
    <rPh sb="108" eb="110">
      <t>ショリ</t>
    </rPh>
    <rPh sb="111" eb="113">
      <t>ヒツヨウ</t>
    </rPh>
    <rPh sb="117" eb="118">
      <t>タト</t>
    </rPh>
    <rPh sb="122" eb="123">
      <t>ウエ</t>
    </rPh>
    <rPh sb="124" eb="125">
      <t>アタイ</t>
    </rPh>
    <rPh sb="126" eb="127">
      <t>マ</t>
    </rPh>
    <rPh sb="137" eb="139">
      <t>ヒジョウ</t>
    </rPh>
    <rPh sb="148" eb="150">
      <t>ドクリツ</t>
    </rPh>
    <rPh sb="152" eb="154">
      <t>ケイサン</t>
    </rPh>
    <rPh sb="157" eb="159">
      <t>ハヤウ</t>
    </rPh>
    <rPh sb="161" eb="165">
      <t>トクテイシンゾク</t>
    </rPh>
    <rPh sb="165" eb="167">
      <t>トクベツ</t>
    </rPh>
    <rPh sb="167" eb="169">
      <t>コウジョ</t>
    </rPh>
    <rPh sb="170" eb="172">
      <t>ドウヨウ</t>
    </rPh>
    <phoneticPr fontId="2"/>
  </si>
  <si>
    <t>★C61,D61も引くように変更</t>
    <rPh sb="9" eb="10">
      <t>ヒ</t>
    </rPh>
    <rPh sb="14" eb="16">
      <t>ヘンコウ</t>
    </rPh>
    <phoneticPr fontId="2"/>
  </si>
  <si>
    <t>★計算シート2で検出した「特定親族」と「実は特定扶養親族」を加算。なお、年上尊属を除く関係でこの式は申告書シートに入力された数を直接数えているため、「実は特定扶養親族」をここでも改めて足す必要がある</t>
    <rPh sb="13" eb="15">
      <t>トクテイ</t>
    </rPh>
    <rPh sb="15" eb="17">
      <t>シンゾク</t>
    </rPh>
    <rPh sb="30" eb="32">
      <t>カサン</t>
    </rPh>
    <rPh sb="36" eb="38">
      <t>トシウエ</t>
    </rPh>
    <rPh sb="38" eb="40">
      <t>ソンゾク</t>
    </rPh>
    <rPh sb="41" eb="42">
      <t>ノゾ</t>
    </rPh>
    <rPh sb="43" eb="45">
      <t>カンケイ</t>
    </rPh>
    <rPh sb="48" eb="49">
      <t>シキ</t>
    </rPh>
    <rPh sb="50" eb="52">
      <t>シンコク</t>
    </rPh>
    <rPh sb="52" eb="53">
      <t>ショ</t>
    </rPh>
    <rPh sb="57" eb="59">
      <t>ニュウリョク</t>
    </rPh>
    <rPh sb="62" eb="63">
      <t>カズ</t>
    </rPh>
    <rPh sb="64" eb="66">
      <t>チョクセツ</t>
    </rPh>
    <rPh sb="66" eb="67">
      <t>カゾ</t>
    </rPh>
    <rPh sb="75" eb="76">
      <t>ジツ</t>
    </rPh>
    <rPh sb="77" eb="79">
      <t>トクテイ</t>
    </rPh>
    <rPh sb="79" eb="81">
      <t>フヨウ</t>
    </rPh>
    <rPh sb="81" eb="83">
      <t>シンゾク</t>
    </rPh>
    <rPh sb="89" eb="90">
      <t>アラタ</t>
    </rPh>
    <rPh sb="92" eb="93">
      <t>タ</t>
    </rPh>
    <rPh sb="94" eb="96">
      <t>ヒツヨウ</t>
    </rPh>
    <phoneticPr fontId="2"/>
  </si>
  <si>
    <t>★計算シート2で本人に多子こどもフラグが立っている場合もOK</t>
    <rPh sb="8" eb="10">
      <t>ホンニン</t>
    </rPh>
    <rPh sb="11" eb="13">
      <t>タシ</t>
    </rPh>
    <rPh sb="20" eb="21">
      <t>タ</t>
    </rPh>
    <rPh sb="25" eb="27">
      <t>バアイ</t>
    </rPh>
    <phoneticPr fontId="2"/>
  </si>
  <si>
    <t>ひとり親要件の規定と微妙に合っていなかったので修正</t>
    <rPh sb="3" eb="4">
      <t>オヤ</t>
    </rPh>
    <rPh sb="4" eb="6">
      <t>ヨウケン</t>
    </rPh>
    <rPh sb="7" eb="9">
      <t>キテイ</t>
    </rPh>
    <rPh sb="10" eb="12">
      <t>ビミョウ</t>
    </rPh>
    <rPh sb="13" eb="14">
      <t>ア</t>
    </rPh>
    <rPh sb="23" eb="25">
      <t>シュウセイ</t>
    </rPh>
    <phoneticPr fontId="2"/>
  </si>
  <si>
    <t>特特控除額</t>
    <rPh sb="2" eb="4">
      <t>コウジョ</t>
    </rPh>
    <rPh sb="4" eb="5">
      <t>ガク</t>
    </rPh>
    <phoneticPr fontId="2"/>
  </si>
  <si>
    <t>★今回の税制改正は合計所得金額58万円以下にしか関係ないため、税制改正フラグ(C51)が1かつ合計所得金額58万円以下の場合と、それ以外の場合で分岐させている</t>
    <rPh sb="1" eb="3">
      <t>コンカイ</t>
    </rPh>
    <rPh sb="4" eb="8">
      <t>ゼイセイカイセイ</t>
    </rPh>
    <rPh sb="9" eb="11">
      <t>ゴウケイ</t>
    </rPh>
    <rPh sb="11" eb="13">
      <t>ショトク</t>
    </rPh>
    <rPh sb="13" eb="15">
      <t>キンガク</t>
    </rPh>
    <rPh sb="17" eb="19">
      <t>マンエン</t>
    </rPh>
    <rPh sb="19" eb="21">
      <t>イカ</t>
    </rPh>
    <rPh sb="24" eb="26">
      <t>カンケイ</t>
    </rPh>
    <rPh sb="31" eb="33">
      <t>ゼイセイ</t>
    </rPh>
    <rPh sb="33" eb="35">
      <t>カイセイ</t>
    </rPh>
    <rPh sb="47" eb="49">
      <t>ゴウケイ</t>
    </rPh>
    <rPh sb="49" eb="51">
      <t>ショトク</t>
    </rPh>
    <rPh sb="51" eb="53">
      <t>キンガク</t>
    </rPh>
    <rPh sb="55" eb="56">
      <t>マン</t>
    </rPh>
    <rPh sb="56" eb="57">
      <t>エン</t>
    </rPh>
    <rPh sb="57" eb="59">
      <t>イカ</t>
    </rPh>
    <rPh sb="60" eb="62">
      <t>バアイ</t>
    </rPh>
    <rPh sb="66" eb="68">
      <t>イガイ</t>
    </rPh>
    <rPh sb="69" eb="71">
      <t>バアイ</t>
    </rPh>
    <rPh sb="72" eb="74">
      <t>ブンキ</t>
    </rPh>
    <phoneticPr fontId="2"/>
  </si>
  <si>
    <t>(T13人的控除!B57の値を変更することで、本人勤労学生控除の式(B20)は変更せずに済んだ)</t>
    <rPh sb="13" eb="14">
      <t>アタイ</t>
    </rPh>
    <rPh sb="15" eb="17">
      <t>ヘンコウ</t>
    </rPh>
    <rPh sb="23" eb="25">
      <t>ホンニン</t>
    </rPh>
    <rPh sb="25" eb="27">
      <t>キンロウ</t>
    </rPh>
    <rPh sb="27" eb="29">
      <t>ガクセイ</t>
    </rPh>
    <rPh sb="29" eb="31">
      <t>コウジョ</t>
    </rPh>
    <rPh sb="32" eb="33">
      <t>シキ</t>
    </rPh>
    <rPh sb="39" eb="41">
      <t>ヘンコウ</t>
    </rPh>
    <rPh sb="44" eb="45">
      <t>ス</t>
    </rPh>
    <phoneticPr fontId="2"/>
  </si>
  <si>
    <t>★税制改正前後で、合計所得金額の基準が切り替わる</t>
    <rPh sb="1" eb="5">
      <t>ゼイセイカイセイ</t>
    </rPh>
    <rPh sb="5" eb="7">
      <t>ゼンゴ</t>
    </rPh>
    <rPh sb="9" eb="15">
      <t>ゴウケイショトクキンガク</t>
    </rPh>
    <rPh sb="16" eb="18">
      <t>キジュン</t>
    </rPh>
    <rPh sb="19" eb="20">
      <t>キ</t>
    </rPh>
    <rPh sb="21" eb="22">
      <t>カ</t>
    </rPh>
    <phoneticPr fontId="2"/>
  </si>
  <si>
    <t>★これまでは基礎控除等改正時(R2ごろ)の分岐フラグとしていたが、今回の特定親族等の改正で分岐するフラグに意味を変更</t>
    <rPh sb="6" eb="8">
      <t>キソ</t>
    </rPh>
    <rPh sb="8" eb="10">
      <t>コウジョ</t>
    </rPh>
    <rPh sb="10" eb="11">
      <t>トウ</t>
    </rPh>
    <rPh sb="11" eb="13">
      <t>カイセイ</t>
    </rPh>
    <rPh sb="13" eb="14">
      <t>ジ</t>
    </rPh>
    <rPh sb="21" eb="23">
      <t>ブンキ</t>
    </rPh>
    <rPh sb="33" eb="35">
      <t>コンカイ</t>
    </rPh>
    <rPh sb="36" eb="38">
      <t>トクテイ</t>
    </rPh>
    <rPh sb="38" eb="40">
      <t>シンゾク</t>
    </rPh>
    <rPh sb="40" eb="41">
      <t>トウ</t>
    </rPh>
    <rPh sb="42" eb="44">
      <t>カイセイ</t>
    </rPh>
    <rPh sb="45" eb="47">
      <t>ブンキ</t>
    </rPh>
    <rPh sb="53" eb="55">
      <t>イミ</t>
    </rPh>
    <rPh sb="56" eb="58">
      <t>ヘンコウ</t>
    </rPh>
    <phoneticPr fontId="2"/>
  </si>
  <si>
    <t>関数の循環回避のために従来はC4,D4とは別に計算していたが、今回の改正で全く同じ式で問題なくなった(=C4などとしても問題無さそうだが、とりあえず機械的に修正)</t>
    <rPh sb="0" eb="2">
      <t>カンスウ</t>
    </rPh>
    <rPh sb="3" eb="5">
      <t>ジュンカン</t>
    </rPh>
    <rPh sb="5" eb="7">
      <t>カイヒ</t>
    </rPh>
    <rPh sb="11" eb="13">
      <t>ジュウライ</t>
    </rPh>
    <rPh sb="21" eb="22">
      <t>ベツ</t>
    </rPh>
    <rPh sb="23" eb="25">
      <t>ケイサン</t>
    </rPh>
    <rPh sb="31" eb="33">
      <t>コンカイ</t>
    </rPh>
    <rPh sb="34" eb="36">
      <t>カイセイ</t>
    </rPh>
    <rPh sb="37" eb="38">
      <t>マッタ</t>
    </rPh>
    <rPh sb="39" eb="40">
      <t>オナ</t>
    </rPh>
    <rPh sb="41" eb="42">
      <t>シキ</t>
    </rPh>
    <rPh sb="43" eb="45">
      <t>モンダイ</t>
    </rPh>
    <rPh sb="60" eb="62">
      <t>モンダイ</t>
    </rPh>
    <rPh sb="62" eb="63">
      <t>ナ</t>
    </rPh>
    <rPh sb="74" eb="77">
      <t>キカイテキ</t>
    </rPh>
    <rPh sb="78" eb="80">
      <t>シュウセイ</t>
    </rPh>
    <phoneticPr fontId="2"/>
  </si>
  <si>
    <t>所得金額調整控除の適用について修正</t>
    <rPh sb="0" eb="2">
      <t>ショトク</t>
    </rPh>
    <rPh sb="2" eb="4">
      <t>キンガク</t>
    </rPh>
    <rPh sb="4" eb="6">
      <t>チョウセイ</t>
    </rPh>
    <rPh sb="6" eb="8">
      <t>コウジョ</t>
    </rPh>
    <rPh sb="9" eb="11">
      <t>テキヨウ</t>
    </rPh>
    <rPh sb="15" eb="17">
      <t>シュウセイ</t>
    </rPh>
    <phoneticPr fontId="2"/>
  </si>
  <si>
    <t>計算式を簡略化</t>
    <rPh sb="0" eb="3">
      <t>ケイサンシキ</t>
    </rPh>
    <rPh sb="4" eb="7">
      <t>カンリャクカ</t>
    </rPh>
    <phoneticPr fontId="2"/>
  </si>
  <si>
    <t>05.収入（所得）は、申込区分に基づき申告いただく１年間に、本人に収入があったかどうかを入力します。</t>
    <rPh sb="11" eb="13">
      <t>モウシコ</t>
    </rPh>
    <rPh sb="13" eb="15">
      <t>クブン</t>
    </rPh>
    <rPh sb="16" eb="17">
      <t>モト</t>
    </rPh>
    <rPh sb="19" eb="21">
      <t>シンコク</t>
    </rPh>
    <rPh sb="26" eb="28">
      <t>ネンカン</t>
    </rPh>
    <phoneticPr fontId="2"/>
  </si>
  <si>
    <t>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
※大学院の申込みの場合、01～09は表示されません。</t>
    <rPh sb="109" eb="113">
      <t>ショトクキンガク</t>
    </rPh>
    <rPh sb="114" eb="116">
      <t>ニュウリョク</t>
    </rPh>
    <rPh sb="122" eb="125">
      <t>ダイガクイン</t>
    </rPh>
    <rPh sb="126" eb="127">
      <t>モウ</t>
    </rPh>
    <rPh sb="127" eb="128">
      <t>コ</t>
    </rPh>
    <rPh sb="130" eb="132">
      <t>バアイ</t>
    </rPh>
    <rPh sb="139" eb="141">
      <t>ヒョウジ</t>
    </rPh>
    <phoneticPr fontId="2"/>
  </si>
  <si>
    <t>※10以降は生計維持者に関する情報の入力になりますが、大学院の申込みの場合、申込者本人及び申込者本人の配偶者</t>
    <rPh sb="6" eb="8">
      <t>セイケイ</t>
    </rPh>
    <rPh sb="8" eb="10">
      <t>イジ</t>
    </rPh>
    <rPh sb="10" eb="11">
      <t>シャ</t>
    </rPh>
    <rPh sb="12" eb="13">
      <t>カン</t>
    </rPh>
    <rPh sb="15" eb="17">
      <t>ジョウホウ</t>
    </rPh>
    <rPh sb="18" eb="20">
      <t>ニュウリョク</t>
    </rPh>
    <rPh sb="27" eb="30">
      <t>ダイガクインノモ</t>
    </rPh>
    <rPh sb="31" eb="33">
      <t>モウシコ</t>
    </rPh>
    <rPh sb="35" eb="37">
      <t>バアイ</t>
    </rPh>
    <phoneticPr fontId="2"/>
  </si>
  <si>
    <t>※複数の通貨による同一の種類の収入（例えば、米ドルと日本円それぞれによる給与収入）がある場合には、１つの通貨にまとめて計上してください。その際に用いるレートは、申込み等で参照する税情報に応じた年（入力した収入（所得）の年の次の年）の、日本銀行が公表する１月分の報告省令レート（ただし、米ドルと日本円間のレートについては同年１月１日時点の為替レート）を用いてください。</t>
    <rPh sb="80" eb="82">
      <t>モウシコミ</t>
    </rPh>
    <rPh sb="83" eb="84">
      <t>トウ</t>
    </rPh>
    <rPh sb="85" eb="87">
      <t>サンショウ</t>
    </rPh>
    <rPh sb="89" eb="90">
      <t>ゼイ</t>
    </rPh>
    <rPh sb="90" eb="92">
      <t>ジョウホウ</t>
    </rPh>
    <rPh sb="93" eb="94">
      <t>オウ</t>
    </rPh>
    <rPh sb="96" eb="97">
      <t>ネン</t>
    </rPh>
    <rPh sb="98" eb="100">
      <t>ニュウリョク</t>
    </rPh>
    <rPh sb="102" eb="104">
      <t>シュウニュウ</t>
    </rPh>
    <rPh sb="105" eb="107">
      <t>ショトク</t>
    </rPh>
    <rPh sb="109" eb="110">
      <t>ネン</t>
    </rPh>
    <rPh sb="111" eb="112">
      <t>ツギ</t>
    </rPh>
    <rPh sb="113" eb="114">
      <t>トシ</t>
    </rPh>
    <rPh sb="117" eb="119">
      <t>ニホン</t>
    </rPh>
    <rPh sb="119" eb="121">
      <t>ギンコウ</t>
    </rPh>
    <rPh sb="122" eb="124">
      <t>コウヒョウ</t>
    </rPh>
    <phoneticPr fontId="2"/>
  </si>
  <si>
    <t>★特定親族について</t>
    <rPh sb="1" eb="3">
      <t>トクテイ</t>
    </rPh>
    <rPh sb="3" eb="5">
      <t>シンゾク</t>
    </rPh>
    <phoneticPr fontId="2"/>
  </si>
  <si>
    <t>なお、レート換算等により、計算結果として特定親族でない範囲の年収になった場合でも、問題なく判定されます。</t>
    <rPh sb="6" eb="8">
      <t>カンサン</t>
    </rPh>
    <rPh sb="8" eb="9">
      <t>トウ</t>
    </rPh>
    <rPh sb="13" eb="15">
      <t>ケイサン</t>
    </rPh>
    <rPh sb="15" eb="17">
      <t>ケッカ</t>
    </rPh>
    <rPh sb="20" eb="24">
      <t>トクテイシンゾク</t>
    </rPh>
    <rPh sb="27" eb="29">
      <t>ハンイ</t>
    </rPh>
    <rPh sb="30" eb="32">
      <t>ネンシュウ</t>
    </rPh>
    <rPh sb="36" eb="38">
      <t>バアイ</t>
    </rPh>
    <rPh sb="41" eb="43">
      <t>モンダイ</t>
    </rPh>
    <rPh sb="45" eb="47">
      <t>ハンテイ</t>
    </rPh>
    <phoneticPr fontId="2"/>
  </si>
  <si>
    <t>「特定親族」については、下記をご参照ください。</t>
    <rPh sb="1" eb="3">
      <t>トクテイ</t>
    </rPh>
    <rPh sb="3" eb="5">
      <t>シンゾク</t>
    </rPh>
    <rPh sb="12" eb="14">
      <t>カキ</t>
    </rPh>
    <rPh sb="16" eb="18">
      <t>サンショウ</t>
    </rPh>
    <phoneticPr fontId="2"/>
  </si>
  <si>
    <t>　https://www.nta.go.jp/taxes/shiraberu/taxanswer/shotoku/1177.htm</t>
    <phoneticPr fontId="2"/>
  </si>
  <si>
    <t>税制改正(特定親族)対応</t>
    <rPh sb="0" eb="4">
      <t>ゼイセイカイセイ</t>
    </rPh>
    <rPh sb="5" eb="7">
      <t>トクテイ</t>
    </rPh>
    <rPh sb="7" eb="9">
      <t>シンゾク</t>
    </rPh>
    <rPh sb="10" eb="12">
      <t>タイオウ</t>
    </rPh>
    <phoneticPr fontId="2"/>
  </si>
  <si>
    <t>１ページ目で入力した「19～22歳の特定親族」(収入123万円超188万円以下、所得58万円超123万円以下)</t>
    <rPh sb="4" eb="5">
      <t>メ</t>
    </rPh>
    <rPh sb="6" eb="8">
      <t>ニュウリョク</t>
    </rPh>
    <rPh sb="31" eb="32">
      <t>チョウ</t>
    </rPh>
    <rPh sb="40" eb="42">
      <t>ショトク</t>
    </rPh>
    <rPh sb="44" eb="46">
      <t>マンエン</t>
    </rPh>
    <rPh sb="46" eb="47">
      <t>チョウ</t>
    </rPh>
    <rPh sb="50" eb="52">
      <t>マンエン</t>
    </rPh>
    <rPh sb="52" eb="54">
      <t>イカイカニュウリョク</t>
    </rPh>
    <phoneticPr fontId="2"/>
  </si>
  <si>
    <t>について、その方の収入・所得を入力してください。</t>
    <rPh sb="7" eb="8">
      <t>カタ</t>
    </rPh>
    <rPh sb="9" eb="11">
      <t>シュウニュウ</t>
    </rPh>
    <rPh sb="12" eb="14">
      <t>ショトク</t>
    </rPh>
    <phoneticPr fontId="2"/>
  </si>
  <si>
    <t>(3)本人及び生計維持者２が１月１日時点で国内に居住し、生計維持者１のみが同時点で海外に居住している場合、生計維持者１の年収等について本申告書を提出します。（ただし、生計維持者２の分の収入等を入力する必要はあります。）生計維持者の情報は、申込時のスカラネット（採用後の場合は、在籍報告）入力と同じにしてください。</t>
    <rPh sb="15" eb="16">
      <t>ガツ</t>
    </rPh>
    <rPh sb="17" eb="18">
      <t>ニチ</t>
    </rPh>
    <rPh sb="18" eb="20">
      <t>ジテン</t>
    </rPh>
    <rPh sb="21" eb="23">
      <t>コクナイ</t>
    </rPh>
    <rPh sb="24" eb="26">
      <t>キョジュウ</t>
    </rPh>
    <rPh sb="37" eb="38">
      <t>ドウ</t>
    </rPh>
    <rPh sb="60" eb="62">
      <t>ネンシュウ</t>
    </rPh>
    <rPh sb="62" eb="63">
      <t>トウ</t>
    </rPh>
    <rPh sb="83" eb="88">
      <t>セイケイイジシャ</t>
    </rPh>
    <rPh sb="90" eb="91">
      <t>ブン</t>
    </rPh>
    <rPh sb="92" eb="94">
      <t>シュウニュウ</t>
    </rPh>
    <rPh sb="94" eb="95">
      <t>トウ</t>
    </rPh>
    <rPh sb="96" eb="98">
      <t>ニュウリョク</t>
    </rPh>
    <rPh sb="100" eb="102">
      <t>ヒツヨウ</t>
    </rPh>
    <rPh sb="109" eb="111">
      <t>セイケイ</t>
    </rPh>
    <rPh sb="111" eb="113">
      <t>イジ</t>
    </rPh>
    <rPh sb="113" eb="114">
      <t>シャ</t>
    </rPh>
    <rPh sb="115" eb="117">
      <t>ジョウホウ</t>
    </rPh>
    <rPh sb="119" eb="121">
      <t>モウシコミ</t>
    </rPh>
    <rPh sb="121" eb="122">
      <t>ジ</t>
    </rPh>
    <rPh sb="130" eb="133">
      <t>サイヨウゴ</t>
    </rPh>
    <rPh sb="134" eb="136">
      <t>バアイ</t>
    </rPh>
    <rPh sb="138" eb="140">
      <t>ザイセキ</t>
    </rPh>
    <rPh sb="140" eb="142">
      <t>ホウコク</t>
    </rPh>
    <rPh sb="143" eb="145">
      <t>ニュウリョク</t>
    </rPh>
    <rPh sb="146" eb="147">
      <t>オナ</t>
    </rPh>
    <phoneticPr fontId="2"/>
  </si>
  <si>
    <t>36.～38.・46.～48.　29以降で入力した扶養親族(特定親族は含みません)のうち、所得税法に定める（もしくは、所得税法の定めに該当すると考えられる）障がい者の人数を入力します。</t>
    <rPh sb="18" eb="20">
      <t>イコウ</t>
    </rPh>
    <rPh sb="21" eb="23">
      <t>ニュウリョク</t>
    </rPh>
    <rPh sb="25" eb="27">
      <t>フヨウ</t>
    </rPh>
    <rPh sb="27" eb="29">
      <t>シンゾク</t>
    </rPh>
    <rPh sb="30" eb="32">
      <t>トクテイ</t>
    </rPh>
    <rPh sb="32" eb="34">
      <t>シンゾク</t>
    </rPh>
    <rPh sb="35" eb="36">
      <t>フク</t>
    </rPh>
    <rPh sb="45" eb="47">
      <t>ショトク</t>
    </rPh>
    <rPh sb="47" eb="49">
      <t>ゼイホウ</t>
    </rPh>
    <rPh sb="50" eb="51">
      <t>サダ</t>
    </rPh>
    <rPh sb="59" eb="61">
      <t>ショトク</t>
    </rPh>
    <rPh sb="61" eb="63">
      <t>ゼイホウ</t>
    </rPh>
    <rPh sb="64" eb="65">
      <t>サダ</t>
    </rPh>
    <rPh sb="67" eb="69">
      <t>ガイトウ</t>
    </rPh>
    <rPh sb="72" eb="73">
      <t>カンガ</t>
    </rPh>
    <rPh sb="78" eb="79">
      <t>ショウ</t>
    </rPh>
    <rPh sb="81" eb="82">
      <t>シャ</t>
    </rPh>
    <rPh sb="83" eb="85">
      <t>ニンズウ</t>
    </rPh>
    <rPh sb="86" eb="88">
      <t>ニュウリョク</t>
    </rPh>
    <phoneticPr fontId="2"/>
  </si>
  <si>
    <t>早生まれ控除額(除特定親族の場合)</t>
    <rPh sb="0" eb="2">
      <t>ハヤウ</t>
    </rPh>
    <rPh sb="4" eb="6">
      <t>コウジョ</t>
    </rPh>
    <rPh sb="6" eb="7">
      <t>ガク</t>
    </rPh>
    <rPh sb="8" eb="9">
      <t>ノゾ</t>
    </rPh>
    <rPh sb="9" eb="11">
      <t>トクテイ</t>
    </rPh>
    <rPh sb="11" eb="13">
      <t>シンゾク</t>
    </rPh>
    <rPh sb="14" eb="16">
      <t>バアイ</t>
    </rPh>
    <phoneticPr fontId="2"/>
  </si>
  <si>
    <t>支給額算定基準額(早生まれ等適用後)</t>
    <rPh sb="0" eb="3">
      <t>シキュウガク</t>
    </rPh>
    <rPh sb="3" eb="5">
      <t>サンテイ</t>
    </rPh>
    <rPh sb="5" eb="7">
      <t>キジュン</t>
    </rPh>
    <rPh sb="7" eb="8">
      <t>ガク</t>
    </rPh>
    <rPh sb="9" eb="11">
      <t>ハヤウ</t>
    </rPh>
    <rPh sb="13" eb="14">
      <t>トウ</t>
    </rPh>
    <rPh sb="14" eb="16">
      <t>テキヨウ</t>
    </rPh>
    <rPh sb="16" eb="17">
      <t>ゴ</t>
    </rPh>
    <phoneticPr fontId="2"/>
  </si>
  <si>
    <t>控除前貸与額算定基準額（早生まれ等適用後）</t>
    <rPh sb="0" eb="2">
      <t>コウジョ</t>
    </rPh>
    <rPh sb="2" eb="3">
      <t>マエ</t>
    </rPh>
    <rPh sb="3" eb="11">
      <t>タイヨガクサンテイキジュンガク</t>
    </rPh>
    <rPh sb="12" eb="14">
      <t>ハヤウ</t>
    </rPh>
    <rPh sb="16" eb="17">
      <t>トウ</t>
    </rPh>
    <rPh sb="17" eb="19">
      <t>テキヨウ</t>
    </rPh>
    <rPh sb="19" eb="20">
      <t>ゴ</t>
    </rPh>
    <phoneticPr fontId="2"/>
  </si>
  <si>
    <r>
      <t>所得金額調整控除</t>
    </r>
    <r>
      <rPr>
        <sz val="11"/>
        <color rgb="FFFF0000"/>
        <rFont val="ＭＳ Ｐゴシック"/>
        <family val="3"/>
        <charset val="128"/>
        <scheme val="minor"/>
      </rPr>
      <t>Ａ</t>
    </r>
    <r>
      <rPr>
        <sz val="11"/>
        <rFont val="ＭＳ Ｐゴシック"/>
        <family val="3"/>
        <charset val="128"/>
        <scheme val="minor"/>
      </rPr>
      <t>適用前合計所得金額</t>
    </r>
    <rPh sb="0" eb="2">
      <t>ショトク</t>
    </rPh>
    <rPh sb="2" eb="4">
      <t>キンガク</t>
    </rPh>
    <rPh sb="4" eb="6">
      <t>チョウセイ</t>
    </rPh>
    <rPh sb="6" eb="8">
      <t>コウジョ</t>
    </rPh>
    <rPh sb="9" eb="11">
      <t>テキヨウ</t>
    </rPh>
    <rPh sb="11" eb="12">
      <t>マエ</t>
    </rPh>
    <rPh sb="12" eb="18">
      <t>ゴウケイショトクキンガク</t>
    </rPh>
    <phoneticPr fontId="2"/>
  </si>
  <si>
    <r>
      <t>所得金額調整控除</t>
    </r>
    <r>
      <rPr>
        <sz val="11"/>
        <color rgb="FFFF0000"/>
        <rFont val="ＭＳ Ｐゴシック"/>
        <family val="3"/>
        <charset val="128"/>
        <scheme val="minor"/>
      </rPr>
      <t>Ａ</t>
    </r>
    <r>
      <rPr>
        <sz val="11"/>
        <rFont val="ＭＳ Ｐゴシック"/>
        <family val="3"/>
        <charset val="128"/>
        <scheme val="minor"/>
      </rPr>
      <t>適用前給与所得金額</t>
    </r>
    <rPh sb="0" eb="2">
      <t>ショトク</t>
    </rPh>
    <rPh sb="2" eb="4">
      <t>キンガク</t>
    </rPh>
    <rPh sb="4" eb="6">
      <t>チョウセイ</t>
    </rPh>
    <rPh sb="6" eb="8">
      <t>コウジョ</t>
    </rPh>
    <rPh sb="9" eb="11">
      <t>テキヨウ</t>
    </rPh>
    <rPh sb="11" eb="12">
      <t>マエ</t>
    </rPh>
    <rPh sb="12" eb="14">
      <t>キュウヨ</t>
    </rPh>
    <rPh sb="14" eb="16">
      <t>ショトク</t>
    </rPh>
    <rPh sb="16" eb="18">
      <t>キンガク</t>
    </rPh>
    <phoneticPr fontId="2"/>
  </si>
  <si>
    <r>
      <t>今回の税制改正で変更は無いが、税制改正フラグ(C51)の意味を変えたことで以前の式(もっと昔の税制改正で式を変えていた)が成り立たなくなったため修正</t>
    </r>
    <r>
      <rPr>
        <sz val="11"/>
        <color rgb="FFFF0000"/>
        <rFont val="ＭＳ Ｐゴシック"/>
        <family val="3"/>
        <charset val="128"/>
        <scheme val="minor"/>
      </rPr>
      <t>、本人が23歳未満のときしか扶養親族持ち条件を満たせないようにIF文追加</t>
    </r>
    <rPh sb="0" eb="2">
      <t>コンカイ</t>
    </rPh>
    <rPh sb="3" eb="7">
      <t>ゼイセイカイセイ</t>
    </rPh>
    <rPh sb="8" eb="10">
      <t>ヘンコウ</t>
    </rPh>
    <rPh sb="11" eb="12">
      <t>ナ</t>
    </rPh>
    <rPh sb="28" eb="30">
      <t>イミ</t>
    </rPh>
    <rPh sb="31" eb="32">
      <t>カ</t>
    </rPh>
    <rPh sb="37" eb="39">
      <t>イゼン</t>
    </rPh>
    <rPh sb="40" eb="41">
      <t>シキ</t>
    </rPh>
    <rPh sb="45" eb="46">
      <t>ムカシ</t>
    </rPh>
    <rPh sb="47" eb="49">
      <t>ゼイセイ</t>
    </rPh>
    <rPh sb="49" eb="51">
      <t>カイセイ</t>
    </rPh>
    <rPh sb="52" eb="53">
      <t>シキ</t>
    </rPh>
    <rPh sb="54" eb="55">
      <t>カ</t>
    </rPh>
    <rPh sb="61" eb="62">
      <t>ナ</t>
    </rPh>
    <rPh sb="63" eb="64">
      <t>タ</t>
    </rPh>
    <rPh sb="72" eb="74">
      <t>シュウセイ</t>
    </rPh>
    <rPh sb="75" eb="77">
      <t>ホンニン</t>
    </rPh>
    <rPh sb="80" eb="83">
      <t>サイミマン</t>
    </rPh>
    <rPh sb="88" eb="90">
      <t>フヨウ</t>
    </rPh>
    <rPh sb="90" eb="92">
      <t>シンゾク</t>
    </rPh>
    <rPh sb="92" eb="93">
      <t>モ</t>
    </rPh>
    <rPh sb="94" eb="96">
      <t>ジョウケン</t>
    </rPh>
    <rPh sb="97" eb="98">
      <t>ミ</t>
    </rPh>
    <rPh sb="107" eb="108">
      <t>ブン</t>
    </rPh>
    <rPh sb="108" eb="110">
      <t>ツイカ</t>
    </rPh>
    <phoneticPr fontId="2"/>
  </si>
  <si>
    <t>29.～35.・39.～45.ここでは、それぞれの生計維持者が扶養している親族の人数を入力します。「扶養している」とは、仮に所得税法が適用されているとした場合に扶養親族（親族は、配偶者を除く６親等内の血族及び３親等内の姻族）となる者をいいます（国内に居住している場合は、課税証明書の情報をそのまま入力してください）。23～69歳の扶養親族（項番33と43）については、そのうち、生計維持者より年長の者が何人であるかも入力してください。扶養親族については、国内に居住しているか否かにかかわらず、生計維持者との関係を証明する書類が必要です。32.及び42.の「特定親族」については、下記「★特定親族について」をご参照ください。なお、「扶養親族」と「特定親族」に同一人物を計上しないようご注意ください。</t>
    <rPh sb="25" eb="27">
      <t>セイケイ</t>
    </rPh>
    <rPh sb="27" eb="29">
      <t>イジ</t>
    </rPh>
    <rPh sb="29" eb="30">
      <t>シャ</t>
    </rPh>
    <rPh sb="31" eb="33">
      <t>フヨウ</t>
    </rPh>
    <rPh sb="37" eb="39">
      <t>シンゾク</t>
    </rPh>
    <rPh sb="40" eb="42">
      <t>ニンズウ</t>
    </rPh>
    <rPh sb="43" eb="45">
      <t>ニュウリョク</t>
    </rPh>
    <rPh sb="50" eb="52">
      <t>フヨウ</t>
    </rPh>
    <rPh sb="60" eb="61">
      <t>カリ</t>
    </rPh>
    <rPh sb="62" eb="64">
      <t>ショトク</t>
    </rPh>
    <rPh sb="64" eb="66">
      <t>ゼイホウ</t>
    </rPh>
    <rPh sb="67" eb="69">
      <t>テキヨウ</t>
    </rPh>
    <rPh sb="77" eb="79">
      <t>バアイ</t>
    </rPh>
    <rPh sb="80" eb="82">
      <t>フヨウ</t>
    </rPh>
    <rPh sb="82" eb="84">
      <t>シンゾク</t>
    </rPh>
    <rPh sb="85" eb="87">
      <t>シンゾク</t>
    </rPh>
    <rPh sb="89" eb="92">
      <t>ハイグウシャ</t>
    </rPh>
    <rPh sb="93" eb="94">
      <t>ノゾ</t>
    </rPh>
    <rPh sb="96" eb="98">
      <t>シントウ</t>
    </rPh>
    <rPh sb="98" eb="99">
      <t>ナイ</t>
    </rPh>
    <rPh sb="100" eb="102">
      <t>ケツゾク</t>
    </rPh>
    <rPh sb="102" eb="103">
      <t>オヨ</t>
    </rPh>
    <rPh sb="105" eb="107">
      <t>シントウ</t>
    </rPh>
    <rPh sb="107" eb="108">
      <t>ナイ</t>
    </rPh>
    <rPh sb="109" eb="111">
      <t>インゾク</t>
    </rPh>
    <rPh sb="115" eb="116">
      <t>シャ</t>
    </rPh>
    <rPh sb="122" eb="124">
      <t>コクナイ</t>
    </rPh>
    <rPh sb="125" eb="127">
      <t>キョジュウ</t>
    </rPh>
    <rPh sb="131" eb="133">
      <t>バアイ</t>
    </rPh>
    <rPh sb="135" eb="137">
      <t>カゼイ</t>
    </rPh>
    <rPh sb="137" eb="140">
      <t>ショウメイショ</t>
    </rPh>
    <rPh sb="141" eb="143">
      <t>ジョウホウ</t>
    </rPh>
    <rPh sb="148" eb="150">
      <t>ニュウリョク</t>
    </rPh>
    <rPh sb="163" eb="164">
      <t>サイ</t>
    </rPh>
    <rPh sb="165" eb="167">
      <t>フヨウ</t>
    </rPh>
    <rPh sb="167" eb="169">
      <t>シンゾク</t>
    </rPh>
    <rPh sb="170" eb="172">
      <t>コウバン</t>
    </rPh>
    <rPh sb="189" eb="191">
      <t>セイケイ</t>
    </rPh>
    <rPh sb="191" eb="193">
      <t>イジ</t>
    </rPh>
    <rPh sb="193" eb="194">
      <t>シャ</t>
    </rPh>
    <rPh sb="196" eb="198">
      <t>ネンチョウ</t>
    </rPh>
    <rPh sb="199" eb="200">
      <t>シャ</t>
    </rPh>
    <rPh sb="201" eb="203">
      <t>ナンニン</t>
    </rPh>
    <rPh sb="208" eb="210">
      <t>ニュウリョク</t>
    </rPh>
    <rPh sb="217" eb="219">
      <t>フヨウ</t>
    </rPh>
    <rPh sb="219" eb="221">
      <t>シンゾク</t>
    </rPh>
    <rPh sb="227" eb="229">
      <t>コクナイ</t>
    </rPh>
    <rPh sb="230" eb="232">
      <t>キョジュウ</t>
    </rPh>
    <rPh sb="237" eb="238">
      <t>イナ</t>
    </rPh>
    <rPh sb="246" eb="251">
      <t>セイケイイジシャ</t>
    </rPh>
    <rPh sb="253" eb="255">
      <t>カンケイ</t>
    </rPh>
    <rPh sb="256" eb="258">
      <t>ショウメイ</t>
    </rPh>
    <rPh sb="260" eb="262">
      <t>ショルイ</t>
    </rPh>
    <rPh sb="263" eb="265">
      <t>ヒツヨウ</t>
    </rPh>
    <rPh sb="271" eb="272">
      <t>オヨ</t>
    </rPh>
    <rPh sb="278" eb="282">
      <t>トクテイシンゾク</t>
    </rPh>
    <rPh sb="289" eb="291">
      <t>カキ</t>
    </rPh>
    <rPh sb="293" eb="295">
      <t>トクテイ</t>
    </rPh>
    <rPh sb="295" eb="297">
      <t>シンゾク</t>
    </rPh>
    <rPh sb="304" eb="306">
      <t>サンショウ</t>
    </rPh>
    <rPh sb="315" eb="317">
      <t>フヨウ</t>
    </rPh>
    <rPh sb="317" eb="319">
      <t>シンゾク</t>
    </rPh>
    <rPh sb="322" eb="324">
      <t>トクテイ</t>
    </rPh>
    <rPh sb="324" eb="326">
      <t>シンゾク</t>
    </rPh>
    <rPh sb="328" eb="330">
      <t>ドウイツ</t>
    </rPh>
    <rPh sb="330" eb="332">
      <t>ジンブツ</t>
    </rPh>
    <rPh sb="333" eb="335">
      <t>ケイジョウ</t>
    </rPh>
    <rPh sb="341" eb="343">
      <t>チュウイ</t>
    </rPh>
    <phoneticPr fontId="2"/>
  </si>
  <si>
    <t>仮に所得税法が適用されているとした場合に、所得税法上の「特定親族」に該当する者がいる場合は、32.及び42.に人数を入力した上で、左の別紙にて特定親族の者の収入等を入力する必要があります。入力方法は17.～28.と同様です。32.及び42.にて入力した人数に合わせて入力欄が表示されますので、それぞれ入力します。
※生計維持者との関係を証明する書類は提出必要ですが、収入・所得を証明する書類は提出不要です。</t>
    <rPh sb="21" eb="23">
      <t>ショトク</t>
    </rPh>
    <rPh sb="23" eb="26">
      <t>ゼイホウジョウ</t>
    </rPh>
    <rPh sb="28" eb="30">
      <t>トクテイ</t>
    </rPh>
    <rPh sb="30" eb="32">
      <t>シンゾク</t>
    </rPh>
    <rPh sb="34" eb="36">
      <t>ガイトウ</t>
    </rPh>
    <rPh sb="38" eb="39">
      <t>モノ</t>
    </rPh>
    <rPh sb="42" eb="44">
      <t>バアイ</t>
    </rPh>
    <rPh sb="49" eb="50">
      <t>オヨ</t>
    </rPh>
    <rPh sb="55" eb="57">
      <t>ニンズウ</t>
    </rPh>
    <rPh sb="58" eb="60">
      <t>ニュウリョク</t>
    </rPh>
    <rPh sb="62" eb="63">
      <t>ウエ</t>
    </rPh>
    <rPh sb="65" eb="66">
      <t>ヒダリ</t>
    </rPh>
    <rPh sb="67" eb="69">
      <t>ベッシ</t>
    </rPh>
    <rPh sb="71" eb="73">
      <t>トクテイ</t>
    </rPh>
    <rPh sb="73" eb="75">
      <t>シンゾク</t>
    </rPh>
    <rPh sb="76" eb="77">
      <t>モノ</t>
    </rPh>
    <rPh sb="78" eb="80">
      <t>シュウニュウ</t>
    </rPh>
    <rPh sb="80" eb="81">
      <t>トウ</t>
    </rPh>
    <rPh sb="82" eb="84">
      <t>ニュウリョク</t>
    </rPh>
    <rPh sb="86" eb="88">
      <t>ヒツヨウ</t>
    </rPh>
    <rPh sb="94" eb="96">
      <t>ニュウリョク</t>
    </rPh>
    <rPh sb="96" eb="98">
      <t>ホウホウ</t>
    </rPh>
    <rPh sb="107" eb="109">
      <t>ドウヨウ</t>
    </rPh>
    <rPh sb="122" eb="124">
      <t>ニュウリョク</t>
    </rPh>
    <rPh sb="129" eb="130">
      <t>ア</t>
    </rPh>
    <rPh sb="133" eb="135">
      <t>ニュウリョク</t>
    </rPh>
    <rPh sb="135" eb="136">
      <t>ラン</t>
    </rPh>
    <rPh sb="137" eb="139">
      <t>ヒョウジ</t>
    </rPh>
    <rPh sb="150" eb="152">
      <t>ニュウリョク</t>
    </rPh>
    <rPh sb="158" eb="163">
      <t>セイケイイジシャ</t>
    </rPh>
    <rPh sb="165" eb="167">
      <t>カンケイ</t>
    </rPh>
    <rPh sb="168" eb="170">
      <t>ショウメイ</t>
    </rPh>
    <rPh sb="172" eb="174">
      <t>ショルイ</t>
    </rPh>
    <rPh sb="175" eb="177">
      <t>テイシュツ</t>
    </rPh>
    <rPh sb="177" eb="179">
      <t>ヒツヨウ</t>
    </rPh>
    <rPh sb="183" eb="185">
      <t>シュウニュウ</t>
    </rPh>
    <rPh sb="186" eb="188">
      <t>ショトク</t>
    </rPh>
    <rPh sb="189" eb="191">
      <t>ショウメイ</t>
    </rPh>
    <rPh sb="193" eb="195">
      <t>ショルイ</t>
    </rPh>
    <rPh sb="196" eb="198">
      <t>テイシュツ</t>
    </rPh>
    <rPh sb="198" eb="200">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</si>
</sst>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
    <numFmt numFmtId="177" formatCode="#,##0;[Red]#,##0"/>
    <numFmt numFmtId="178" formatCode="#,##0.00;[Red]#,##0.00"/>
    <numFmt numFmtId="179" formatCode="yyyy&quot;.&quot;mm"/>
    <numFmt numFmtId="180" formatCode="#,##0_ "/>
  </numFmts>
  <fonts count="47">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2"/>
      <name val="ＭＳ 明朝"/>
      <family val="1"/>
      <charset val="128"/>
    </font>
    <font>
      <sz val="7"/>
      <name val="ＭＳ Ｐゴシック"/>
      <family val="3"/>
      <charset val="128"/>
    </font>
    <font>
      <sz val="11"/>
      <name val="ＭＳ 明朝"/>
      <family val="1"/>
      <charset val="128"/>
    </font>
    <font>
      <sz val="12"/>
      <color indexed="10"/>
      <name val="ＭＳ 明朝"/>
      <family val="1"/>
      <charset val="128"/>
    </font>
    <font>
      <b/>
      <i/>
      <sz val="14"/>
      <name val="ＭＳ 明朝"/>
      <family val="1"/>
      <charset val="128"/>
    </font>
    <font>
      <sz val="9"/>
      <color theme="1"/>
      <name val="ＭＳ Ｐゴシック"/>
      <family val="2"/>
      <scheme val="minor"/>
    </font>
    <font>
      <sz val="11"/>
      <name val="ＭＳ Ｐゴシック"/>
      <family val="2"/>
      <scheme val="minor"/>
    </font>
    <font>
      <sz val="11"/>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b/>
      <sz val="8"/>
      <color theme="1"/>
      <name val="ＭＳ Ｐゴシック"/>
      <family val="3"/>
      <charset val="128"/>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3"/>
      <charset val="128"/>
      <scheme val="minor"/>
    </font>
    <font>
      <sz val="6"/>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sz val="10"/>
      <name val="ＭＳ Ｐゴシック"/>
      <family val="3"/>
      <charset val="128"/>
      <scheme val="minor"/>
    </font>
    <font>
      <sz val="10"/>
      <name val="ＭＳ Ｐゴシック"/>
      <family val="2"/>
      <scheme val="minor"/>
    </font>
    <font>
      <sz val="8"/>
      <name val="ＭＳ Ｐゴシック"/>
      <family val="3"/>
      <charset val="128"/>
      <scheme val="minor"/>
    </font>
    <font>
      <sz val="5.5"/>
      <name val="ＭＳ Ｐゴシック"/>
      <family val="3"/>
      <charset val="128"/>
      <scheme val="minor"/>
    </font>
    <font>
      <sz val="6"/>
      <name val="ＭＳ Ｐゴシック"/>
      <family val="2"/>
      <scheme val="minor"/>
    </font>
    <font>
      <sz val="9"/>
      <name val="ＭＳ Ｐゴシック"/>
      <family val="2"/>
      <scheme val="minor"/>
    </font>
    <font>
      <b/>
      <sz val="11"/>
      <name val="ＭＳ Ｐゴシック"/>
      <family val="3"/>
      <charset val="128"/>
      <scheme val="minor"/>
    </font>
    <font>
      <sz val="8"/>
      <name val="ＭＳ Ｐゴシック"/>
      <family val="2"/>
      <scheme val="minor"/>
    </font>
    <font>
      <b/>
      <sz val="8"/>
      <name val="ＭＳ Ｐゴシック"/>
      <family val="3"/>
      <charset val="128"/>
      <scheme val="minor"/>
    </font>
    <font>
      <sz val="16"/>
      <name val="Kunstler Script"/>
      <family val="4"/>
    </font>
    <font>
      <sz val="11"/>
      <name val="Kunstler Script"/>
      <family val="4"/>
    </font>
    <font>
      <sz val="14"/>
      <name val="HGS行書体"/>
      <family val="4"/>
      <charset val="128"/>
    </font>
    <font>
      <sz val="11"/>
      <name val="HGS行書体"/>
      <family val="4"/>
      <charset val="128"/>
    </font>
    <font>
      <sz val="9"/>
      <name val="ＭＳ Ｐゴシック"/>
      <family val="3"/>
      <charset val="128"/>
      <scheme val="minor"/>
    </font>
    <font>
      <sz val="10"/>
      <color rgb="FFFF0000"/>
      <name val="ＭＳ Ｐゴシック"/>
      <family val="2"/>
      <scheme val="minor"/>
    </font>
    <font>
      <sz val="10"/>
      <color rgb="FFFF0000"/>
      <name val="ＭＳ Ｐゴシック"/>
      <family val="3"/>
      <charset val="128"/>
      <scheme val="minor"/>
    </font>
    <font>
      <sz val="7.5"/>
      <color theme="1"/>
      <name val="ＭＳ Ｐゴシック"/>
      <family val="2"/>
      <scheme val="minor"/>
    </font>
    <font>
      <sz val="7.5"/>
      <color theme="1"/>
      <name val="ＭＳ Ｐゴシック"/>
      <family val="3"/>
      <charset val="128"/>
      <scheme val="minor"/>
    </font>
    <font>
      <sz val="9.5"/>
      <name val="ＭＳ Ｐゴシック"/>
      <family val="3"/>
      <charset val="128"/>
      <scheme val="minor"/>
    </font>
    <font>
      <b/>
      <sz val="11"/>
      <color theme="1"/>
      <name val="ＤＦ特太ゴシック体"/>
      <family val="3"/>
      <charset val="128"/>
    </font>
    <font>
      <sz val="7.5"/>
      <name val="ＭＳ Ｐゴシック"/>
      <family val="2"/>
      <scheme val="minor"/>
    </font>
    <font>
      <sz val="11"/>
      <color theme="1"/>
      <name val="ＭＳ Ｐゴシック"/>
      <family val="3"/>
      <charset val="128"/>
      <scheme val="minor"/>
    </font>
    <font>
      <sz val="11"/>
      <color rgb="FFFF0000"/>
      <name val="ＭＳ Ｐゴシック"/>
      <family val="3"/>
      <charset val="128"/>
      <scheme val="minor"/>
    </font>
    <font>
      <b/>
      <sz val="11"/>
      <name val="ＤＦ特太ゴシック体"/>
      <family val="3"/>
      <charset val="128"/>
    </font>
    <font>
      <sz val="7.5"/>
      <name val="ＭＳ Ｐゴシック"/>
      <family val="3"/>
      <charset val="128"/>
      <scheme val="minor"/>
    </font>
    <font>
      <sz val="7"/>
      <name val="ＭＳ Ｐ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dashDot">
        <color indexed="64"/>
      </left>
      <right style="medium">
        <color indexed="64"/>
      </right>
      <top/>
      <bottom style="thin">
        <color indexed="64"/>
      </bottom>
      <diagonal/>
    </border>
    <border>
      <left/>
      <right/>
      <top/>
      <bottom style="double">
        <color indexed="64"/>
      </bottom>
      <diagonal/>
    </border>
    <border>
      <left style="dashDot">
        <color indexed="64"/>
      </left>
      <right/>
      <top style="dashDot">
        <color indexed="64"/>
      </top>
      <bottom style="double">
        <color indexed="64"/>
      </bottom>
      <diagonal/>
    </border>
    <border>
      <left/>
      <right/>
      <top style="dashDot">
        <color indexed="64"/>
      </top>
      <bottom style="double">
        <color indexed="64"/>
      </bottom>
      <diagonal/>
    </border>
    <border>
      <left/>
      <right style="dashDot">
        <color indexed="64"/>
      </right>
      <top style="dashDot">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style="medium">
        <color indexed="64"/>
      </left>
      <right style="double">
        <color indexed="64"/>
      </right>
      <top/>
      <bottom style="double">
        <color indexed="64"/>
      </bottom>
      <diagonal/>
    </border>
    <border>
      <left style="medium">
        <color indexed="64"/>
      </left>
      <right style="dashDot">
        <color indexed="64"/>
      </right>
      <top/>
      <bottom style="double">
        <color indexed="64"/>
      </bottom>
      <diagonal/>
    </border>
    <border>
      <left style="dashDot">
        <color indexed="64"/>
      </left>
      <right style="medium">
        <color indexed="64"/>
      </right>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Dot">
        <color indexed="64"/>
      </left>
      <right/>
      <top/>
      <bottom style="double">
        <color indexed="64"/>
      </bottom>
      <diagonal/>
    </border>
    <border>
      <left/>
      <right style="dashDot">
        <color indexed="64"/>
      </right>
      <top/>
      <bottom style="double">
        <color indexed="64"/>
      </bottom>
      <diagonal/>
    </border>
    <border>
      <left style="medium">
        <color indexed="64"/>
      </left>
      <right style="double">
        <color indexed="64"/>
      </right>
      <top/>
      <bottom/>
      <diagonal/>
    </border>
    <border>
      <left style="thin">
        <color indexed="64"/>
      </left>
      <right style="dashDot">
        <color indexed="64"/>
      </right>
      <top style="thin">
        <color indexed="64"/>
      </top>
      <bottom style="double">
        <color indexed="64"/>
      </bottom>
      <diagonal/>
    </border>
    <border>
      <left/>
      <right/>
      <top style="double">
        <color indexed="64"/>
      </top>
      <bottom style="double">
        <color indexed="64"/>
      </bottom>
      <diagonal/>
    </border>
    <border>
      <left/>
      <right style="medium">
        <color indexed="64"/>
      </right>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double">
        <color indexed="64"/>
      </right>
      <top/>
      <bottom style="double">
        <color indexed="64"/>
      </bottom>
      <diagonal/>
    </border>
    <border>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right/>
      <top/>
      <bottom style="hair">
        <color indexed="64"/>
      </bottom>
      <diagonal/>
    </border>
    <border>
      <left/>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indexed="64"/>
      </left>
      <right/>
      <top/>
      <bottom/>
      <diagonal/>
    </border>
    <border>
      <left style="thin">
        <color indexed="64"/>
      </left>
      <right/>
      <top/>
      <bottom style="double">
        <color indexed="64"/>
      </bottom>
      <diagonal/>
    </border>
    <border>
      <left style="medium">
        <color indexed="64"/>
      </left>
      <right style="thin">
        <color indexed="64"/>
      </right>
      <top/>
      <bottom/>
      <diagonal/>
    </border>
    <border>
      <left style="dashDot">
        <color indexed="64"/>
      </left>
      <right/>
      <top style="double">
        <color indexed="64"/>
      </top>
      <bottom style="thin">
        <color indexed="64"/>
      </bottom>
      <diagonal/>
    </border>
    <border>
      <left/>
      <right style="dashDot">
        <color indexed="64"/>
      </right>
      <top style="thin">
        <color indexed="64"/>
      </top>
      <bottom/>
      <diagonal/>
    </border>
    <border>
      <left style="medium">
        <color indexed="64"/>
      </left>
      <right/>
      <top/>
      <bottom style="double">
        <color indexed="64"/>
      </bottom>
      <diagonal/>
    </border>
    <border>
      <left/>
      <right/>
      <top style="double">
        <color indexed="64"/>
      </top>
      <bottom style="thin">
        <color indexed="64"/>
      </bottom>
      <diagonal/>
    </border>
    <border>
      <left style="dashDot">
        <color indexed="64"/>
      </left>
      <right/>
      <top style="thin">
        <color indexed="64"/>
      </top>
      <bottom style="thin">
        <color indexed="64"/>
      </bottom>
      <diagonal/>
    </border>
    <border>
      <left/>
      <right style="dashDot">
        <color indexed="64"/>
      </right>
      <top style="thin">
        <color indexed="64"/>
      </top>
      <bottom style="thin">
        <color indexed="64"/>
      </bottom>
      <diagonal/>
    </border>
    <border>
      <left style="dashDot">
        <color indexed="64"/>
      </left>
      <right/>
      <top/>
      <bottom style="thin">
        <color indexed="64"/>
      </bottom>
      <diagonal/>
    </border>
    <border>
      <left style="thin">
        <color indexed="64"/>
      </left>
      <right style="dashDot">
        <color indexed="64"/>
      </right>
      <top/>
      <bottom style="double">
        <color indexed="64"/>
      </bottom>
      <diagonal/>
    </border>
    <border>
      <left style="dashDot">
        <color indexed="64"/>
      </left>
      <right style="medium">
        <color indexed="64"/>
      </right>
      <top style="thin">
        <color indexed="64"/>
      </top>
      <bottom style="thin">
        <color indexed="64"/>
      </bottom>
      <diagonal/>
    </border>
    <border>
      <left style="dashDot">
        <color indexed="64"/>
      </left>
      <right/>
      <top style="thin">
        <color indexed="64"/>
      </top>
      <bottom style="double">
        <color indexed="64"/>
      </bottom>
      <diagonal/>
    </border>
    <border>
      <left/>
      <right style="dashDot">
        <color indexed="64"/>
      </right>
      <top style="thin">
        <color indexed="64"/>
      </top>
      <bottom style="double">
        <color indexed="64"/>
      </bottom>
      <diagonal/>
    </border>
    <border>
      <left style="dashDot">
        <color indexed="64"/>
      </left>
      <right style="medium">
        <color indexed="64"/>
      </right>
      <top style="thin">
        <color indexed="64"/>
      </top>
      <bottom style="double">
        <color indexed="64"/>
      </bottom>
      <diagonal/>
    </border>
    <border>
      <left style="dashDot">
        <color indexed="64"/>
      </left>
      <right style="medium">
        <color indexed="64"/>
      </right>
      <top/>
      <bottom/>
      <diagonal/>
    </border>
    <border>
      <left/>
      <right/>
      <top style="dashDot">
        <color indexed="64"/>
      </top>
      <bottom/>
      <diagonal/>
    </border>
    <border>
      <left style="double">
        <color indexed="64"/>
      </left>
      <right style="double">
        <color indexed="64"/>
      </right>
      <top/>
      <bottom/>
      <diagonal/>
    </border>
    <border>
      <left/>
      <right/>
      <top style="medium">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style="medium">
        <color indexed="64"/>
      </right>
      <top/>
      <bottom/>
      <diagonal/>
    </border>
    <border>
      <left/>
      <right style="medium">
        <color indexed="64"/>
      </right>
      <top/>
      <bottom style="hair">
        <color indexed="64"/>
      </bottom>
      <diagonal/>
    </border>
    <border>
      <left style="dashDot">
        <color indexed="64"/>
      </left>
      <right/>
      <top style="double">
        <color indexed="64"/>
      </top>
      <bottom/>
      <diagonal/>
    </border>
    <border>
      <left style="medium">
        <color indexed="64"/>
      </left>
      <right style="medium">
        <color indexed="64"/>
      </right>
      <top/>
      <bottom/>
      <diagonal/>
    </border>
    <border>
      <left style="medium">
        <color indexed="64"/>
      </left>
      <right style="dashDot">
        <color indexed="64"/>
      </right>
      <top/>
      <bottom/>
      <diagonal/>
    </border>
    <border>
      <left style="thin">
        <color indexed="64"/>
      </left>
      <right style="thin">
        <color indexed="64"/>
      </right>
      <top/>
      <bottom style="medium">
        <color indexed="64"/>
      </bottom>
      <diagonal/>
    </border>
    <border>
      <left style="thin">
        <color indexed="64"/>
      </left>
      <right style="dashDot">
        <color indexed="64"/>
      </right>
      <top style="thin">
        <color indexed="64"/>
      </top>
      <bottom style="thin">
        <color indexed="64"/>
      </bottom>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uble">
        <color indexed="64"/>
      </bottom>
      <diagonal/>
    </border>
    <border>
      <left/>
      <right/>
      <top/>
      <bottom style="mediumDashed">
        <color rgb="FF0000CC"/>
      </bottom>
      <diagonal/>
    </border>
    <border>
      <left/>
      <right style="medium">
        <color theme="1"/>
      </right>
      <top/>
      <bottom/>
      <diagonal/>
    </border>
    <border>
      <left/>
      <right style="medium">
        <color theme="1"/>
      </right>
      <top/>
      <bottom style="mediumDashed">
        <color rgb="FF0000CC"/>
      </bottom>
      <diagonal/>
    </border>
    <border>
      <left style="medium">
        <color theme="1"/>
      </left>
      <right/>
      <top style="mediumDashed">
        <color rgb="FF0000CC"/>
      </top>
      <bottom/>
      <diagonal/>
    </border>
    <border>
      <left/>
      <right/>
      <top style="mediumDashed">
        <color rgb="FF0000CC"/>
      </top>
      <bottom/>
      <diagonal/>
    </border>
    <border>
      <left style="medium">
        <color theme="1"/>
      </left>
      <right/>
      <top/>
      <bottom/>
      <diagonal/>
    </border>
  </borders>
  <cellStyleXfs count="2">
    <xf numFmtId="0" fontId="0" fillId="0" borderId="0"/>
    <xf numFmtId="38" fontId="1" fillId="0" borderId="0" applyFont="0" applyFill="0" applyBorder="0" applyAlignment="0" applyProtection="0">
      <alignment vertical="center"/>
    </xf>
  </cellStyleXfs>
  <cellXfs count="657">
    <xf numFmtId="0" fontId="0" fillId="0" borderId="0" xfId="0"/>
    <xf numFmtId="0" fontId="3" fillId="0" borderId="0" xfId="0" applyFont="1"/>
    <xf numFmtId="0" fontId="3" fillId="0" borderId="0" xfId="0" applyFont="1" applyAlignment="1">
      <alignment horizontal="left"/>
    </xf>
    <xf numFmtId="0" fontId="5" fillId="0" borderId="0" xfId="0" applyFont="1"/>
    <xf numFmtId="0" fontId="7" fillId="0" borderId="2" xfId="0" applyFont="1" applyBorder="1" applyProtection="1">
      <protection locked="0"/>
    </xf>
    <xf numFmtId="0" fontId="3" fillId="0" borderId="3" xfId="0" applyFont="1" applyBorder="1"/>
    <xf numFmtId="0" fontId="0" fillId="0" borderId="3" xfId="0" applyBorder="1"/>
    <xf numFmtId="31" fontId="3" fillId="0" borderId="3" xfId="0" applyNumberFormat="1" applyFont="1" applyBorder="1" applyAlignment="1" applyProtection="1">
      <alignment horizontal="centerContinuous"/>
      <protection locked="0"/>
    </xf>
    <xf numFmtId="0" fontId="3" fillId="0" borderId="4" xfId="0" applyFont="1" applyBorder="1" applyAlignment="1" applyProtection="1">
      <alignment horizontal="centerContinuous"/>
      <protection locked="0"/>
    </xf>
    <xf numFmtId="0" fontId="3" fillId="0" borderId="5" xfId="0" applyFont="1" applyBorder="1"/>
    <xf numFmtId="0" fontId="5" fillId="0" borderId="0" xfId="0" applyFont="1" applyAlignment="1">
      <alignment horizontal="centerContinuous"/>
    </xf>
    <xf numFmtId="0" fontId="3" fillId="0" borderId="6" xfId="0" applyFont="1" applyBorder="1" applyAlignment="1">
      <alignment horizontal="centerContinuous"/>
    </xf>
    <xf numFmtId="0" fontId="3" fillId="0" borderId="6" xfId="0" applyFont="1" applyBorder="1"/>
    <xf numFmtId="0" fontId="3" fillId="0" borderId="0" xfId="0" applyFont="1" applyAlignment="1">
      <alignment horizontal="right"/>
    </xf>
    <xf numFmtId="0" fontId="3" fillId="0" borderId="0" xfId="0" applyFont="1" applyAlignment="1">
      <alignment horizontal="center"/>
    </xf>
    <xf numFmtId="0" fontId="3" fillId="0" borderId="0" xfId="0" applyFont="1" applyAlignment="1" applyProtection="1">
      <alignment horizontal="left"/>
      <protection locked="0"/>
    </xf>
    <xf numFmtId="0" fontId="3" fillId="0" borderId="6" xfId="0" applyFont="1" applyBorder="1" applyAlignment="1">
      <alignment horizontal="right"/>
    </xf>
    <xf numFmtId="0" fontId="3" fillId="0" borderId="0" xfId="0" applyFont="1" applyAlignment="1" applyProtection="1">
      <alignment vertical="top"/>
      <protection locked="0"/>
    </xf>
    <xf numFmtId="49" fontId="3" fillId="0" borderId="0" xfId="0" applyNumberFormat="1" applyFont="1" applyAlignment="1" applyProtection="1">
      <alignment vertical="top"/>
      <protection locked="0"/>
    </xf>
    <xf numFmtId="0" fontId="3" fillId="0" borderId="6" xfId="0" applyFont="1" applyBorder="1" applyAlignment="1">
      <alignment horizontal="left"/>
    </xf>
    <xf numFmtId="49" fontId="3" fillId="0" borderId="0" xfId="0" applyNumberFormat="1" applyFont="1" applyAlignment="1" applyProtection="1">
      <alignment horizontal="left"/>
      <protection locked="0"/>
    </xf>
    <xf numFmtId="0" fontId="6" fillId="0" borderId="0" xfId="0" applyFont="1"/>
    <xf numFmtId="58" fontId="3" fillId="0" borderId="0" xfId="0" applyNumberFormat="1" applyFont="1" applyAlignment="1">
      <alignment horizontal="center"/>
    </xf>
    <xf numFmtId="58" fontId="3" fillId="0" borderId="0" xfId="0" applyNumberFormat="1" applyFont="1" applyAlignment="1">
      <alignment horizontal="left"/>
    </xf>
    <xf numFmtId="176" fontId="3" fillId="0" borderId="0" xfId="0" applyNumberFormat="1" applyFont="1"/>
    <xf numFmtId="0" fontId="3" fillId="0" borderId="7" xfId="0" applyFont="1" applyBorder="1"/>
    <xf numFmtId="49" fontId="6" fillId="0" borderId="8" xfId="0" applyNumberFormat="1" applyFont="1" applyBorder="1" applyAlignment="1">
      <alignment horizontal="center"/>
    </xf>
    <xf numFmtId="49" fontId="6" fillId="0" borderId="8" xfId="0" applyNumberFormat="1" applyFont="1" applyBorder="1"/>
    <xf numFmtId="0" fontId="3" fillId="0" borderId="8" xfId="0" applyFont="1" applyBorder="1"/>
    <xf numFmtId="0" fontId="3" fillId="0" borderId="8" xfId="0" applyFont="1" applyBorder="1" applyProtection="1">
      <protection locked="0"/>
    </xf>
    <xf numFmtId="0" fontId="3" fillId="0" borderId="8" xfId="0" applyFont="1" applyBorder="1" applyAlignment="1">
      <alignment horizontal="center"/>
    </xf>
    <xf numFmtId="0" fontId="3" fillId="0" borderId="9" xfId="0" applyFont="1" applyBorder="1"/>
    <xf numFmtId="49" fontId="3" fillId="0" borderId="0" xfId="0" applyNumberFormat="1" applyFont="1"/>
    <xf numFmtId="49" fontId="3" fillId="0" borderId="0" xfId="0" applyNumberFormat="1" applyFont="1" applyAlignment="1">
      <alignment horizontal="right"/>
    </xf>
    <xf numFmtId="0" fontId="9" fillId="0" borderId="1" xfId="0" applyFont="1" applyBorder="1"/>
    <xf numFmtId="0" fontId="0" fillId="0" borderId="1" xfId="0" applyBorder="1"/>
    <xf numFmtId="0" fontId="10" fillId="0" borderId="1" xfId="0" applyFont="1" applyBorder="1"/>
    <xf numFmtId="0" fontId="0" fillId="0" borderId="1" xfId="0" quotePrefix="1" applyBorder="1"/>
    <xf numFmtId="0" fontId="10" fillId="0" borderId="1" xfId="0" applyFont="1" applyBorder="1" applyAlignment="1">
      <alignment vertical="center" wrapText="1"/>
    </xf>
    <xf numFmtId="0" fontId="10" fillId="0" borderId="0" xfId="0" applyFont="1"/>
    <xf numFmtId="0" fontId="0" fillId="0" borderId="10" xfId="0" applyBorder="1" applyAlignment="1">
      <alignment horizontal="center" vertical="center"/>
    </xf>
    <xf numFmtId="0" fontId="8" fillId="0" borderId="10" xfId="0" applyFont="1" applyBorder="1" applyAlignment="1">
      <alignment horizontal="center" vertical="center"/>
    </xf>
    <xf numFmtId="0" fontId="0" fillId="0" borderId="11" xfId="0" applyBorder="1" applyAlignment="1">
      <alignment vertical="center"/>
    </xf>
    <xf numFmtId="0" fontId="0" fillId="0" borderId="11" xfId="0" applyBorder="1" applyAlignment="1">
      <alignment vertical="center" shrinkToFit="1"/>
    </xf>
    <xf numFmtId="0" fontId="0" fillId="0" borderId="14" xfId="0" applyBorder="1" applyAlignment="1">
      <alignment vertical="center"/>
    </xf>
    <xf numFmtId="0" fontId="0" fillId="0" borderId="14" xfId="0" applyBorder="1" applyAlignment="1">
      <alignment vertical="center" shrinkToFit="1"/>
    </xf>
    <xf numFmtId="0" fontId="0" fillId="0" borderId="14" xfId="0" applyBorder="1" applyAlignment="1">
      <alignment horizontal="left" vertical="center" shrinkToFit="1"/>
    </xf>
    <xf numFmtId="0" fontId="0" fillId="0" borderId="16" xfId="0" applyBorder="1"/>
    <xf numFmtId="0" fontId="0" fillId="0" borderId="17" xfId="0" applyBorder="1" applyAlignment="1">
      <alignment horizontal="center"/>
    </xf>
    <xf numFmtId="0" fontId="0" fillId="0" borderId="18" xfId="0" applyBorder="1"/>
    <xf numFmtId="0" fontId="0" fillId="0" borderId="17" xfId="0" applyBorder="1"/>
    <xf numFmtId="0" fontId="0" fillId="0" borderId="19" xfId="0" applyBorder="1" applyAlignment="1">
      <alignment vertical="center"/>
    </xf>
    <xf numFmtId="0" fontId="12" fillId="0" borderId="1" xfId="0" applyFont="1" applyBorder="1"/>
    <xf numFmtId="49" fontId="12" fillId="0" borderId="1" xfId="0" applyNumberFormat="1" applyFont="1" applyBorder="1" applyAlignment="1">
      <alignment horizontal="right"/>
    </xf>
    <xf numFmtId="0" fontId="0" fillId="0" borderId="10" xfId="0" applyBorder="1" applyAlignment="1">
      <alignment horizontal="center" vertical="center" shrinkToFit="1"/>
    </xf>
    <xf numFmtId="0" fontId="0" fillId="0" borderId="0" xfId="0" applyAlignment="1">
      <alignment horizontal="center"/>
    </xf>
    <xf numFmtId="0" fontId="0" fillId="2" borderId="0" xfId="0" applyFill="1" applyAlignment="1">
      <alignment vertical="center"/>
    </xf>
    <xf numFmtId="0" fontId="0" fillId="2" borderId="14" xfId="0" applyFill="1" applyBorder="1" applyAlignment="1">
      <alignment vertical="center"/>
    </xf>
    <xf numFmtId="0" fontId="0" fillId="0" borderId="12" xfId="0" applyBorder="1"/>
    <xf numFmtId="0" fontId="0" fillId="0" borderId="20" xfId="0" applyBorder="1" applyAlignment="1">
      <alignment vertical="center"/>
    </xf>
    <xf numFmtId="0" fontId="0" fillId="0" borderId="21" xfId="0" applyBorder="1" applyAlignment="1">
      <alignment vertical="center"/>
    </xf>
    <xf numFmtId="0" fontId="0" fillId="0" borderId="20" xfId="0" applyBorder="1"/>
    <xf numFmtId="0" fontId="0" fillId="0" borderId="29" xfId="0" applyBorder="1" applyAlignment="1">
      <alignment vertical="center"/>
    </xf>
    <xf numFmtId="0" fontId="0" fillId="0" borderId="28" xfId="0" applyBorder="1" applyAlignment="1">
      <alignment vertical="center"/>
    </xf>
    <xf numFmtId="0" fontId="11" fillId="2" borderId="30" xfId="0" applyFont="1" applyFill="1" applyBorder="1" applyAlignment="1">
      <alignment vertical="center"/>
    </xf>
    <xf numFmtId="0" fontId="0" fillId="0" borderId="33" xfId="0" applyBorder="1" applyAlignment="1">
      <alignment vertical="center"/>
    </xf>
    <xf numFmtId="0" fontId="0" fillId="0" borderId="36" xfId="0" applyBorder="1" applyAlignment="1">
      <alignment vertical="center"/>
    </xf>
    <xf numFmtId="0" fontId="11" fillId="2" borderId="31" xfId="0" applyFont="1" applyFill="1" applyBorder="1" applyAlignment="1">
      <alignment vertical="center"/>
    </xf>
    <xf numFmtId="0" fontId="0" fillId="0" borderId="0" xfId="0" applyAlignment="1">
      <alignment horizontal="left"/>
    </xf>
    <xf numFmtId="0" fontId="0" fillId="0" borderId="41" xfId="0" applyBorder="1"/>
    <xf numFmtId="0" fontId="8" fillId="0" borderId="10" xfId="0" applyFont="1" applyBorder="1" applyAlignment="1">
      <alignment horizontal="center" vertical="center" shrinkToFit="1"/>
    </xf>
    <xf numFmtId="0" fontId="8" fillId="0" borderId="0" xfId="0" applyFont="1"/>
    <xf numFmtId="0" fontId="14" fillId="0" borderId="0" xfId="0" applyFont="1"/>
    <xf numFmtId="0" fontId="15" fillId="0" borderId="0" xfId="0" applyFont="1"/>
    <xf numFmtId="0" fontId="16" fillId="0" borderId="0" xfId="0" applyFont="1"/>
    <xf numFmtId="0" fontId="0" fillId="2" borderId="24" xfId="0" applyFill="1" applyBorder="1" applyAlignment="1">
      <alignment vertical="center"/>
    </xf>
    <xf numFmtId="0" fontId="0" fillId="0" borderId="0" xfId="0" applyAlignment="1">
      <alignment vertical="center"/>
    </xf>
    <xf numFmtId="0" fontId="0" fillId="0" borderId="44" xfId="0" applyBorder="1" applyAlignment="1">
      <alignment vertical="center"/>
    </xf>
    <xf numFmtId="0" fontId="0" fillId="0" borderId="25" xfId="0" applyBorder="1" applyAlignment="1">
      <alignment vertical="center"/>
    </xf>
    <xf numFmtId="0" fontId="0" fillId="2" borderId="25" xfId="0" applyFill="1" applyBorder="1" applyAlignment="1">
      <alignment vertical="center"/>
    </xf>
    <xf numFmtId="0" fontId="0" fillId="0" borderId="43" xfId="0" applyBorder="1" applyAlignment="1">
      <alignment vertical="center"/>
    </xf>
    <xf numFmtId="0" fontId="0" fillId="0" borderId="2" xfId="0" applyBorder="1" applyAlignment="1">
      <alignment vertical="center" shrinkToFit="1"/>
    </xf>
    <xf numFmtId="0" fontId="0" fillId="0" borderId="2" xfId="0" applyBorder="1" applyAlignment="1">
      <alignment vertical="center"/>
    </xf>
    <xf numFmtId="178" fontId="0" fillId="0" borderId="10" xfId="0" applyNumberFormat="1" applyBorder="1" applyAlignment="1">
      <alignment vertical="center"/>
    </xf>
    <xf numFmtId="0" fontId="0" fillId="0" borderId="38" xfId="0" applyBorder="1" applyAlignment="1">
      <alignment vertical="center"/>
    </xf>
    <xf numFmtId="0" fontId="0" fillId="0" borderId="26" xfId="0" applyBorder="1" applyAlignment="1">
      <alignment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2" borderId="15" xfId="0" applyFill="1" applyBorder="1" applyAlignment="1">
      <alignment vertical="center"/>
    </xf>
    <xf numFmtId="0" fontId="0" fillId="0" borderId="15" xfId="0" applyBorder="1" applyAlignment="1">
      <alignment vertical="center"/>
    </xf>
    <xf numFmtId="0" fontId="0" fillId="2" borderId="0" xfId="0" applyFill="1" applyAlignment="1">
      <alignment horizontal="center" vertical="center"/>
    </xf>
    <xf numFmtId="0" fontId="0" fillId="0" borderId="27" xfId="0" applyBorder="1" applyAlignment="1">
      <alignment vertical="center"/>
    </xf>
    <xf numFmtId="0" fontId="0" fillId="2" borderId="20" xfId="0" applyFill="1" applyBorder="1" applyAlignment="1">
      <alignment vertical="center"/>
    </xf>
    <xf numFmtId="0" fontId="0" fillId="2" borderId="28" xfId="0" applyFill="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2" borderId="35" xfId="0" applyFill="1" applyBorder="1" applyAlignment="1">
      <alignment vertical="center"/>
    </xf>
    <xf numFmtId="0" fontId="0" fillId="2" borderId="33" xfId="0" applyFill="1" applyBorder="1" applyAlignment="1">
      <alignment vertical="center"/>
    </xf>
    <xf numFmtId="0" fontId="0" fillId="0" borderId="37" xfId="0" applyBorder="1" applyAlignment="1">
      <alignment vertical="center"/>
    </xf>
    <xf numFmtId="0" fontId="0" fillId="0" borderId="29" xfId="0" applyBorder="1" applyAlignment="1">
      <alignment vertical="center" shrinkToFit="1"/>
    </xf>
    <xf numFmtId="0" fontId="0" fillId="0" borderId="22" xfId="0" applyBorder="1" applyAlignment="1">
      <alignment horizontal="center" vertical="center" shrinkToFit="1"/>
    </xf>
    <xf numFmtId="0" fontId="11" fillId="2" borderId="0" xfId="0" applyFont="1" applyFill="1" applyAlignment="1">
      <alignment horizontal="center" vertical="center" shrinkToFit="1"/>
    </xf>
    <xf numFmtId="0" fontId="0" fillId="2" borderId="45" xfId="0" applyFill="1" applyBorder="1" applyAlignment="1">
      <alignment vertical="center"/>
    </xf>
    <xf numFmtId="0" fontId="8" fillId="0" borderId="46" xfId="0" applyFont="1" applyBorder="1" applyAlignment="1">
      <alignment horizontal="center" vertical="center"/>
    </xf>
    <xf numFmtId="0" fontId="15" fillId="0" borderId="47" xfId="0" applyFont="1" applyBorder="1"/>
    <xf numFmtId="0" fontId="16" fillId="0" borderId="48" xfId="0" applyFont="1" applyBorder="1"/>
    <xf numFmtId="177" fontId="16" fillId="0" borderId="48" xfId="0" applyNumberFormat="1" applyFont="1" applyBorder="1" applyAlignment="1">
      <alignment horizontal="right"/>
    </xf>
    <xf numFmtId="0" fontId="16" fillId="0" borderId="51" xfId="0" applyFont="1" applyBorder="1"/>
    <xf numFmtId="0" fontId="16" fillId="0" borderId="7" xfId="0" applyFont="1" applyBorder="1" applyAlignment="1">
      <alignment vertical="center"/>
    </xf>
    <xf numFmtId="0" fontId="16" fillId="0" borderId="8" xfId="0" applyFont="1" applyBorder="1" applyAlignment="1">
      <alignment vertical="center"/>
    </xf>
    <xf numFmtId="177" fontId="16" fillId="0" borderId="8" xfId="0" applyNumberFormat="1" applyFont="1" applyBorder="1" applyAlignment="1">
      <alignment horizontal="right" vertical="center"/>
    </xf>
    <xf numFmtId="0" fontId="16" fillId="0" borderId="50" xfId="0" applyFont="1" applyBorder="1"/>
    <xf numFmtId="0" fontId="16" fillId="0" borderId="8" xfId="0" applyFont="1" applyBorder="1"/>
    <xf numFmtId="0" fontId="16" fillId="0" borderId="9" xfId="0" applyFont="1" applyBorder="1"/>
    <xf numFmtId="0" fontId="0" fillId="0" borderId="55" xfId="0" applyBorder="1"/>
    <xf numFmtId="0" fontId="15" fillId="0" borderId="20" xfId="0" applyFont="1" applyBorder="1" applyAlignment="1">
      <alignment vertical="top"/>
    </xf>
    <xf numFmtId="0" fontId="0" fillId="0" borderId="20" xfId="0" applyBorder="1" applyAlignment="1">
      <alignment vertical="top"/>
    </xf>
    <xf numFmtId="0" fontId="0" fillId="0" borderId="33" xfId="0" applyBorder="1" applyAlignment="1">
      <alignment vertical="top"/>
    </xf>
    <xf numFmtId="0" fontId="0" fillId="0" borderId="34" xfId="0" applyBorder="1" applyAlignment="1">
      <alignment vertical="top"/>
    </xf>
    <xf numFmtId="0" fontId="0" fillId="0" borderId="37" xfId="0" applyBorder="1" applyAlignment="1">
      <alignment vertical="top"/>
    </xf>
    <xf numFmtId="0" fontId="0" fillId="0" borderId="15" xfId="0" applyBorder="1" applyAlignment="1">
      <alignment vertical="top"/>
    </xf>
    <xf numFmtId="0" fontId="0" fillId="0" borderId="0" xfId="0" applyAlignment="1">
      <alignment vertical="top"/>
    </xf>
    <xf numFmtId="0" fontId="16" fillId="0" borderId="47" xfId="0" applyFont="1" applyBorder="1" applyAlignment="1">
      <alignment vertical="center"/>
    </xf>
    <xf numFmtId="0" fontId="16" fillId="0" borderId="48" xfId="0" applyFont="1" applyBorder="1" applyAlignment="1">
      <alignment vertical="center"/>
    </xf>
    <xf numFmtId="177" fontId="16" fillId="0" borderId="48" xfId="0" applyNumberFormat="1" applyFont="1" applyBorder="1" applyAlignment="1">
      <alignment horizontal="right" vertical="center"/>
    </xf>
    <xf numFmtId="0" fontId="16" fillId="0" borderId="49" xfId="0" applyFont="1" applyBorder="1"/>
    <xf numFmtId="14" fontId="0" fillId="0" borderId="0" xfId="0" applyNumberFormat="1" applyAlignment="1">
      <alignment horizontal="center"/>
    </xf>
    <xf numFmtId="0" fontId="16" fillId="2" borderId="0" xfId="0" applyFont="1" applyFill="1" applyAlignment="1">
      <alignment horizontal="right" vertical="center"/>
    </xf>
    <xf numFmtId="0" fontId="16" fillId="0" borderId="20" xfId="0" applyFont="1" applyBorder="1" applyAlignment="1">
      <alignment horizontal="right" vertical="top"/>
    </xf>
    <xf numFmtId="0" fontId="16" fillId="0" borderId="20" xfId="0" applyFont="1" applyBorder="1" applyAlignment="1">
      <alignment horizontal="right" vertical="center"/>
    </xf>
    <xf numFmtId="0" fontId="18" fillId="2" borderId="40" xfId="0" quotePrefix="1" applyFont="1" applyFill="1" applyBorder="1" applyAlignment="1">
      <alignment horizontal="right" vertical="center"/>
    </xf>
    <xf numFmtId="0" fontId="17" fillId="2" borderId="40" xfId="0" quotePrefix="1" applyFont="1" applyFill="1" applyBorder="1" applyAlignment="1">
      <alignment horizontal="right" vertical="center"/>
    </xf>
    <xf numFmtId="0" fontId="17" fillId="2" borderId="39" xfId="0" quotePrefix="1" applyFont="1" applyFill="1" applyBorder="1" applyAlignment="1">
      <alignment horizontal="right" vertical="center"/>
    </xf>
    <xf numFmtId="0" fontId="18" fillId="2" borderId="31" xfId="0" quotePrefix="1" applyFont="1" applyFill="1" applyBorder="1" applyAlignment="1">
      <alignment horizontal="right" vertical="center"/>
    </xf>
    <xf numFmtId="0" fontId="17" fillId="2" borderId="31" xfId="0" quotePrefix="1" applyFont="1" applyFill="1" applyBorder="1" applyAlignment="1">
      <alignment horizontal="right" vertical="center"/>
    </xf>
    <xf numFmtId="0" fontId="17" fillId="2" borderId="32" xfId="0" quotePrefix="1" applyFont="1" applyFill="1" applyBorder="1" applyAlignment="1">
      <alignment horizontal="right" vertical="center"/>
    </xf>
    <xf numFmtId="0" fontId="18" fillId="2" borderId="0" xfId="0" quotePrefix="1" applyFont="1" applyFill="1" applyAlignment="1">
      <alignment horizontal="right" vertical="center"/>
    </xf>
    <xf numFmtId="0" fontId="17" fillId="2" borderId="0" xfId="0" applyFont="1" applyFill="1" applyAlignment="1">
      <alignment horizontal="right" vertical="center"/>
    </xf>
    <xf numFmtId="0" fontId="17" fillId="2" borderId="0" xfId="0" quotePrefix="1" applyFont="1" applyFill="1" applyAlignment="1">
      <alignment horizontal="right" vertical="center"/>
    </xf>
    <xf numFmtId="0" fontId="17" fillId="2" borderId="20" xfId="0" applyFont="1" applyFill="1" applyBorder="1" applyAlignment="1">
      <alignment horizontal="right" vertical="center"/>
    </xf>
    <xf numFmtId="0" fontId="17" fillId="2" borderId="33" xfId="0" quotePrefix="1" applyFont="1" applyFill="1" applyBorder="1" applyAlignment="1">
      <alignment horizontal="right" vertical="center"/>
    </xf>
    <xf numFmtId="0" fontId="17" fillId="2" borderId="20" xfId="0" quotePrefix="1" applyFont="1" applyFill="1" applyBorder="1" applyAlignment="1">
      <alignment horizontal="right" vertical="center"/>
    </xf>
    <xf numFmtId="0" fontId="19" fillId="0" borderId="0" xfId="0" applyFont="1"/>
    <xf numFmtId="0" fontId="0" fillId="0" borderId="6" xfId="0" applyBorder="1"/>
    <xf numFmtId="0" fontId="0" fillId="0" borderId="6" xfId="0" applyBorder="1" applyAlignment="1">
      <alignment vertical="center"/>
    </xf>
    <xf numFmtId="0" fontId="0" fillId="0" borderId="6" xfId="0" applyBorder="1" applyAlignment="1">
      <alignment vertical="top"/>
    </xf>
    <xf numFmtId="0" fontId="22" fillId="0" borderId="0" xfId="0" applyFont="1"/>
    <xf numFmtId="0" fontId="0" fillId="0" borderId="0" xfId="0" applyAlignment="1">
      <alignment horizontal="right"/>
    </xf>
    <xf numFmtId="0" fontId="9" fillId="0" borderId="41" xfId="0" applyFont="1" applyBorder="1"/>
    <xf numFmtId="0" fontId="0" fillId="2" borderId="56" xfId="0" applyFill="1" applyBorder="1" applyAlignment="1">
      <alignment vertical="center"/>
    </xf>
    <xf numFmtId="0" fontId="0" fillId="2" borderId="32" xfId="0" applyFill="1" applyBorder="1" applyAlignment="1">
      <alignment vertical="center"/>
    </xf>
    <xf numFmtId="0" fontId="15" fillId="2" borderId="31" xfId="0" applyFont="1" applyFill="1" applyBorder="1" applyAlignment="1">
      <alignment vertical="center"/>
    </xf>
    <xf numFmtId="0" fontId="8" fillId="0" borderId="57" xfId="0" applyFont="1" applyBorder="1" applyAlignment="1">
      <alignment vertical="center"/>
    </xf>
    <xf numFmtId="0" fontId="18" fillId="0" borderId="1" xfId="0" applyFont="1" applyBorder="1" applyAlignment="1">
      <alignment vertical="center"/>
    </xf>
    <xf numFmtId="0" fontId="17" fillId="0" borderId="1" xfId="0" applyFont="1" applyBorder="1" applyAlignment="1">
      <alignment vertical="center"/>
    </xf>
    <xf numFmtId="0" fontId="8" fillId="0" borderId="58" xfId="0" applyFont="1" applyBorder="1" applyAlignment="1">
      <alignment horizontal="center" vertical="center"/>
    </xf>
    <xf numFmtId="0" fontId="23" fillId="0" borderId="55" xfId="0" applyFont="1" applyBorder="1"/>
    <xf numFmtId="178" fontId="0" fillId="0" borderId="10" xfId="0" applyNumberFormat="1" applyBorder="1" applyAlignment="1">
      <alignment vertical="center" shrinkToFit="1"/>
    </xf>
    <xf numFmtId="0" fontId="18" fillId="0" borderId="46" xfId="0" applyFont="1" applyBorder="1" applyAlignment="1">
      <alignment horizontal="distributed" vertical="top"/>
    </xf>
    <xf numFmtId="49" fontId="9" fillId="0" borderId="0" xfId="0" applyNumberFormat="1" applyFont="1" applyAlignment="1">
      <alignment shrinkToFit="1"/>
    </xf>
    <xf numFmtId="0" fontId="21" fillId="0" borderId="0" xfId="0" applyFont="1" applyAlignment="1">
      <alignment vertical="top" wrapText="1"/>
    </xf>
    <xf numFmtId="0" fontId="0" fillId="3" borderId="1" xfId="0" applyFill="1" applyBorder="1"/>
    <xf numFmtId="0" fontId="24" fillId="0" borderId="0" xfId="0" applyFont="1" applyAlignment="1">
      <alignment horizontal="right" vertical="center" wrapText="1"/>
    </xf>
    <xf numFmtId="0" fontId="9" fillId="0" borderId="0" xfId="0" applyFont="1" applyAlignment="1">
      <alignment shrinkToFit="1"/>
    </xf>
    <xf numFmtId="0" fontId="9" fillId="0" borderId="0" xfId="0" applyFont="1"/>
    <xf numFmtId="0" fontId="0" fillId="0" borderId="12" xfId="0" applyBorder="1" applyAlignment="1">
      <alignment horizontal="center"/>
    </xf>
    <xf numFmtId="0" fontId="8" fillId="0" borderId="12" xfId="0" applyFont="1" applyBorder="1" applyAlignment="1">
      <alignment horizontal="center" vertical="center" shrinkToFit="1"/>
    </xf>
    <xf numFmtId="14" fontId="0" fillId="0" borderId="10" xfId="0" applyNumberFormat="1" applyBorder="1" applyAlignment="1">
      <alignment horizontal="center" vertical="center"/>
    </xf>
    <xf numFmtId="0" fontId="9" fillId="0" borderId="12" xfId="0" quotePrefix="1" applyFont="1" applyBorder="1" applyAlignment="1">
      <alignment horizontal="center"/>
    </xf>
    <xf numFmtId="0" fontId="10" fillId="0" borderId="46" xfId="0" applyFont="1" applyBorder="1" applyAlignment="1">
      <alignment horizontal="center"/>
    </xf>
    <xf numFmtId="0" fontId="9" fillId="0" borderId="6" xfId="0" applyFont="1" applyBorder="1"/>
    <xf numFmtId="0" fontId="9" fillId="0" borderId="0" xfId="0" applyFont="1" applyAlignment="1">
      <alignment horizontal="center"/>
    </xf>
    <xf numFmtId="0" fontId="9" fillId="0" borderId="0" xfId="0" applyFont="1" applyAlignment="1">
      <alignment horizontal="left"/>
    </xf>
    <xf numFmtId="0" fontId="9" fillId="0" borderId="0" xfId="0" applyFont="1" applyAlignment="1">
      <alignment horizontal="left" vertical="top" wrapText="1"/>
    </xf>
    <xf numFmtId="14" fontId="9" fillId="0" borderId="12" xfId="0" applyNumberFormat="1" applyFont="1" applyBorder="1" applyAlignment="1">
      <alignment horizontal="center"/>
    </xf>
    <xf numFmtId="0" fontId="25" fillId="0" borderId="46" xfId="0" applyFont="1" applyBorder="1" applyAlignment="1">
      <alignment horizontal="distributed" vertical="top"/>
    </xf>
    <xf numFmtId="0" fontId="9" fillId="0" borderId="0" xfId="0" applyFont="1" applyAlignment="1">
      <alignment horizontal="right"/>
    </xf>
    <xf numFmtId="0" fontId="9" fillId="0" borderId="12" xfId="0" applyFont="1" applyBorder="1" applyAlignment="1">
      <alignment horizontal="center"/>
    </xf>
    <xf numFmtId="0" fontId="26" fillId="0" borderId="12" xfId="0" applyFont="1" applyBorder="1" applyAlignment="1">
      <alignment horizontal="center" vertical="center" shrinkToFit="1"/>
    </xf>
    <xf numFmtId="0" fontId="10" fillId="0" borderId="0" xfId="0" applyFont="1" applyAlignment="1">
      <alignment horizontal="right"/>
    </xf>
    <xf numFmtId="0" fontId="9" fillId="0" borderId="12" xfId="0" applyFont="1" applyBorder="1"/>
    <xf numFmtId="0" fontId="9" fillId="0" borderId="20" xfId="0" applyFont="1" applyBorder="1"/>
    <xf numFmtId="0" fontId="27" fillId="2" borderId="31" xfId="0" applyFont="1" applyFill="1" applyBorder="1" applyAlignment="1">
      <alignment vertical="center"/>
    </xf>
    <xf numFmtId="0" fontId="9" fillId="2" borderId="0" xfId="0" applyFont="1" applyFill="1" applyAlignment="1">
      <alignment vertical="center"/>
    </xf>
    <xf numFmtId="0" fontId="9" fillId="2" borderId="24" xfId="0" applyFont="1" applyFill="1" applyBorder="1" applyAlignment="1">
      <alignment vertical="center"/>
    </xf>
    <xf numFmtId="0" fontId="9" fillId="0" borderId="0" xfId="0" applyFont="1" applyAlignment="1">
      <alignment vertical="center"/>
    </xf>
    <xf numFmtId="0" fontId="27" fillId="2" borderId="30" xfId="0" applyFont="1" applyFill="1" applyBorder="1" applyAlignment="1">
      <alignment vertical="center"/>
    </xf>
    <xf numFmtId="0" fontId="9" fillId="2" borderId="56" xfId="0" applyFont="1" applyFill="1" applyBorder="1" applyAlignment="1">
      <alignment vertical="center"/>
    </xf>
    <xf numFmtId="0" fontId="9" fillId="0" borderId="6" xfId="0" applyFont="1" applyBorder="1" applyAlignment="1">
      <alignment vertical="center"/>
    </xf>
    <xf numFmtId="0" fontId="25" fillId="2" borderId="40" xfId="0" quotePrefix="1" applyFont="1" applyFill="1" applyBorder="1" applyAlignment="1">
      <alignment horizontal="right" vertical="center"/>
    </xf>
    <xf numFmtId="0" fontId="9" fillId="0" borderId="11" xfId="0" applyFont="1" applyBorder="1" applyAlignment="1">
      <alignment vertical="center"/>
    </xf>
    <xf numFmtId="14" fontId="9" fillId="0" borderId="10" xfId="0" applyNumberFormat="1" applyFont="1" applyBorder="1" applyAlignment="1">
      <alignment horizontal="center" vertical="center"/>
    </xf>
    <xf numFmtId="0" fontId="9" fillId="0" borderId="25" xfId="0" applyFont="1" applyBorder="1" applyAlignment="1">
      <alignment vertical="center"/>
    </xf>
    <xf numFmtId="0" fontId="28" fillId="2" borderId="31" xfId="0" applyFont="1" applyFill="1" applyBorder="1" applyAlignment="1">
      <alignment vertical="center"/>
    </xf>
    <xf numFmtId="0" fontId="9" fillId="2" borderId="25" xfId="0" applyFont="1" applyFill="1" applyBorder="1" applyAlignment="1">
      <alignment vertical="center"/>
    </xf>
    <xf numFmtId="0" fontId="2" fillId="2" borderId="40" xfId="0" quotePrefix="1" applyFont="1" applyFill="1" applyBorder="1" applyAlignment="1">
      <alignment horizontal="right" vertical="center"/>
    </xf>
    <xf numFmtId="0" fontId="9" fillId="0" borderId="11" xfId="0" applyFont="1" applyBorder="1" applyAlignment="1">
      <alignment vertical="center" shrinkToFit="1"/>
    </xf>
    <xf numFmtId="0" fontId="9" fillId="0" borderId="10" xfId="0" applyFont="1" applyBorder="1" applyAlignment="1">
      <alignment horizontal="center" vertical="center"/>
    </xf>
    <xf numFmtId="0" fontId="9" fillId="0" borderId="43" xfId="0" applyFont="1" applyBorder="1" applyAlignment="1">
      <alignment vertical="center"/>
    </xf>
    <xf numFmtId="0" fontId="26" fillId="0" borderId="10" xfId="0" applyFont="1" applyBorder="1" applyAlignment="1">
      <alignment horizontal="center" vertical="center" shrinkToFit="1"/>
    </xf>
    <xf numFmtId="0" fontId="9" fillId="0" borderId="2" xfId="0" applyFont="1" applyBorder="1" applyAlignment="1">
      <alignment vertical="center" shrinkToFit="1"/>
    </xf>
    <xf numFmtId="0" fontId="9" fillId="0" borderId="10" xfId="0" applyFont="1" applyBorder="1" applyAlignment="1">
      <alignment horizontal="center" vertical="center" shrinkToFit="1"/>
    </xf>
    <xf numFmtId="0" fontId="26" fillId="0" borderId="57" xfId="0" applyFont="1" applyBorder="1" applyAlignment="1">
      <alignment vertical="center"/>
    </xf>
    <xf numFmtId="0" fontId="25" fillId="0" borderId="1" xfId="0" applyFont="1" applyBorder="1" applyAlignment="1">
      <alignment vertical="center"/>
    </xf>
    <xf numFmtId="0" fontId="26" fillId="0" borderId="58" xfId="0" applyFont="1" applyBorder="1" applyAlignment="1">
      <alignment horizontal="center" vertical="center"/>
    </xf>
    <xf numFmtId="0" fontId="10" fillId="0" borderId="2" xfId="0" applyFont="1" applyBorder="1" applyAlignment="1">
      <alignment vertical="center"/>
    </xf>
    <xf numFmtId="0" fontId="9" fillId="0" borderId="44" xfId="0" applyFont="1" applyBorder="1" applyAlignment="1">
      <alignment vertical="center"/>
    </xf>
    <xf numFmtId="0" fontId="2" fillId="0" borderId="1" xfId="0" applyFont="1" applyBorder="1" applyAlignment="1">
      <alignment vertical="center"/>
    </xf>
    <xf numFmtId="178" fontId="9" fillId="0" borderId="10" xfId="0" applyNumberFormat="1" applyFont="1" applyBorder="1" applyAlignment="1">
      <alignment vertical="center"/>
    </xf>
    <xf numFmtId="0" fontId="22" fillId="0" borderId="0" xfId="0" applyFont="1" applyAlignment="1">
      <alignment vertical="center"/>
    </xf>
    <xf numFmtId="0" fontId="9" fillId="0" borderId="2" xfId="0" applyFont="1" applyBorder="1" applyAlignment="1">
      <alignment vertical="center"/>
    </xf>
    <xf numFmtId="0" fontId="2" fillId="2" borderId="39" xfId="0" quotePrefix="1" applyFont="1" applyFill="1" applyBorder="1" applyAlignment="1">
      <alignment horizontal="right" vertical="center"/>
    </xf>
    <xf numFmtId="0" fontId="9" fillId="0" borderId="29" xfId="0" applyFont="1" applyBorder="1" applyAlignment="1">
      <alignment vertical="center"/>
    </xf>
    <xf numFmtId="0" fontId="9" fillId="0" borderId="38" xfId="0" applyFont="1" applyBorder="1" applyAlignment="1">
      <alignment vertical="center"/>
    </xf>
    <xf numFmtId="0" fontId="9" fillId="0" borderId="26" xfId="0" applyFont="1" applyBorder="1" applyAlignment="1">
      <alignment vertical="center"/>
    </xf>
    <xf numFmtId="0" fontId="9" fillId="2" borderId="32" xfId="0" applyFont="1" applyFill="1" applyBorder="1" applyAlignment="1">
      <alignment vertical="center"/>
    </xf>
    <xf numFmtId="0" fontId="9" fillId="2" borderId="20" xfId="0" applyFont="1" applyFill="1" applyBorder="1" applyAlignment="1">
      <alignment vertical="center"/>
    </xf>
    <xf numFmtId="0" fontId="9" fillId="2" borderId="45" xfId="0" applyFont="1" applyFill="1" applyBorder="1" applyAlignment="1">
      <alignment vertical="center"/>
    </xf>
    <xf numFmtId="0" fontId="21" fillId="0" borderId="0" xfId="0" applyFont="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horizontal="center" vertical="center"/>
    </xf>
    <xf numFmtId="0" fontId="9" fillId="0" borderId="23" xfId="0" applyFont="1" applyBorder="1" applyAlignment="1">
      <alignment vertical="center"/>
    </xf>
    <xf numFmtId="0" fontId="9" fillId="0" borderId="22" xfId="0" applyFont="1" applyBorder="1" applyAlignment="1">
      <alignment horizontal="center" vertical="center" shrinkToFit="1"/>
    </xf>
    <xf numFmtId="0" fontId="9" fillId="0" borderId="22" xfId="0" applyFont="1" applyBorder="1" applyAlignment="1">
      <alignment vertical="center"/>
    </xf>
    <xf numFmtId="0" fontId="9" fillId="0" borderId="13" xfId="0" applyFont="1" applyBorder="1" applyAlignment="1">
      <alignment vertical="center"/>
    </xf>
    <xf numFmtId="0" fontId="9" fillId="2" borderId="14" xfId="0" applyFont="1" applyFill="1" applyBorder="1" applyAlignment="1">
      <alignment vertical="center"/>
    </xf>
    <xf numFmtId="0" fontId="9" fillId="2" borderId="15" xfId="0" applyFont="1" applyFill="1" applyBorder="1" applyAlignment="1">
      <alignment vertical="center"/>
    </xf>
    <xf numFmtId="0" fontId="27" fillId="2" borderId="0" xfId="0" applyFont="1" applyFill="1" applyAlignment="1">
      <alignment horizontal="center" vertical="center" shrinkToFit="1"/>
    </xf>
    <xf numFmtId="0" fontId="9" fillId="0" borderId="15" xfId="0" applyFont="1" applyBorder="1" applyAlignment="1">
      <alignment vertical="center"/>
    </xf>
    <xf numFmtId="0" fontId="25" fillId="2" borderId="31" xfId="0" quotePrefix="1" applyFont="1" applyFill="1" applyBorder="1" applyAlignment="1">
      <alignment horizontal="right" vertical="center"/>
    </xf>
    <xf numFmtId="0" fontId="9" fillId="0" borderId="14" xfId="0" applyFont="1" applyBorder="1" applyAlignment="1">
      <alignment vertical="center"/>
    </xf>
    <xf numFmtId="0" fontId="25" fillId="2" borderId="0" xfId="0" quotePrefix="1" applyFont="1" applyFill="1" applyAlignment="1">
      <alignment horizontal="right" vertical="center"/>
    </xf>
    <xf numFmtId="0" fontId="2" fillId="2" borderId="31" xfId="0" quotePrefix="1" applyFont="1" applyFill="1" applyBorder="1" applyAlignment="1">
      <alignment horizontal="right" vertical="center"/>
    </xf>
    <xf numFmtId="0" fontId="2" fillId="2" borderId="0" xfId="0" applyFont="1" applyFill="1" applyAlignment="1">
      <alignment horizontal="right" vertical="center"/>
    </xf>
    <xf numFmtId="0" fontId="9" fillId="2" borderId="0" xfId="0" applyFont="1" applyFill="1" applyAlignment="1">
      <alignment horizontal="center" vertical="center"/>
    </xf>
    <xf numFmtId="0" fontId="9" fillId="0" borderId="14" xfId="0" applyFont="1" applyBorder="1" applyAlignment="1">
      <alignment vertical="center" shrinkToFit="1"/>
    </xf>
    <xf numFmtId="0" fontId="26" fillId="0" borderId="10" xfId="0" applyFont="1" applyBorder="1" applyAlignment="1">
      <alignment horizontal="center" vertical="center"/>
    </xf>
    <xf numFmtId="0" fontId="2" fillId="2" borderId="0" xfId="0" quotePrefix="1" applyFont="1" applyFill="1" applyAlignment="1">
      <alignment horizontal="right" vertical="center"/>
    </xf>
    <xf numFmtId="0" fontId="2" fillId="2" borderId="32" xfId="0" quotePrefix="1" applyFont="1" applyFill="1" applyBorder="1" applyAlignment="1">
      <alignment horizontal="right" vertical="center"/>
    </xf>
    <xf numFmtId="0" fontId="9" fillId="0" borderId="28" xfId="0" applyFont="1" applyBorder="1" applyAlignment="1">
      <alignment vertical="center"/>
    </xf>
    <xf numFmtId="0" fontId="9" fillId="0" borderId="27" xfId="0" applyFont="1" applyBorder="1" applyAlignment="1">
      <alignment vertical="center"/>
    </xf>
    <xf numFmtId="0" fontId="9" fillId="2" borderId="33" xfId="0" applyFont="1" applyFill="1" applyBorder="1" applyAlignment="1">
      <alignment vertical="center"/>
    </xf>
    <xf numFmtId="0" fontId="26" fillId="0" borderId="46" xfId="0" applyFont="1" applyBorder="1" applyAlignment="1">
      <alignment horizontal="center" vertical="center"/>
    </xf>
    <xf numFmtId="0" fontId="28" fillId="0" borderId="20" xfId="0" applyFont="1" applyBorder="1" applyAlignment="1">
      <alignment vertical="top"/>
    </xf>
    <xf numFmtId="0" fontId="9" fillId="0" borderId="20" xfId="0" applyFont="1" applyBorder="1" applyAlignment="1">
      <alignment vertical="top"/>
    </xf>
    <xf numFmtId="0" fontId="9" fillId="0" borderId="33" xfId="0" applyFont="1" applyBorder="1" applyAlignment="1">
      <alignment vertical="top"/>
    </xf>
    <xf numFmtId="0" fontId="9" fillId="0" borderId="34" xfId="0" applyFont="1" applyBorder="1" applyAlignment="1">
      <alignment vertical="top"/>
    </xf>
    <xf numFmtId="0" fontId="9" fillId="0" borderId="37" xfId="0" applyFont="1" applyBorder="1" applyAlignment="1">
      <alignment vertical="top"/>
    </xf>
    <xf numFmtId="0" fontId="9" fillId="0" borderId="15" xfId="0" applyFont="1" applyBorder="1" applyAlignment="1">
      <alignment vertical="top"/>
    </xf>
    <xf numFmtId="0" fontId="9" fillId="0" borderId="6" xfId="0" applyFont="1" applyBorder="1" applyAlignment="1">
      <alignment vertical="top"/>
    </xf>
    <xf numFmtId="0" fontId="9" fillId="0" borderId="0" xfId="0" applyFont="1" applyAlignment="1">
      <alignment vertical="top"/>
    </xf>
    <xf numFmtId="0" fontId="9" fillId="0" borderId="35" xfId="0" applyFont="1" applyBorder="1" applyAlignment="1">
      <alignment vertical="center"/>
    </xf>
    <xf numFmtId="0" fontId="9" fillId="2" borderId="35" xfId="0" applyFont="1" applyFill="1" applyBorder="1" applyAlignment="1">
      <alignment vertical="center"/>
    </xf>
    <xf numFmtId="0" fontId="9" fillId="0" borderId="36" xfId="0" applyFont="1" applyBorder="1" applyAlignment="1">
      <alignment vertical="center"/>
    </xf>
    <xf numFmtId="0" fontId="9" fillId="0" borderId="19" xfId="0" applyFont="1" applyBorder="1" applyAlignment="1">
      <alignment vertical="center"/>
    </xf>
    <xf numFmtId="0" fontId="2" fillId="2" borderId="33" xfId="0" quotePrefix="1" applyFont="1" applyFill="1" applyBorder="1" applyAlignment="1">
      <alignment horizontal="right" vertical="center"/>
    </xf>
    <xf numFmtId="0" fontId="9" fillId="2" borderId="28" xfId="0" applyFont="1" applyFill="1" applyBorder="1" applyAlignment="1">
      <alignment vertical="center"/>
    </xf>
    <xf numFmtId="0" fontId="9" fillId="0" borderId="33" xfId="0" applyFont="1" applyBorder="1" applyAlignment="1">
      <alignment vertical="center"/>
    </xf>
    <xf numFmtId="0" fontId="9" fillId="0" borderId="34" xfId="0" applyFont="1" applyBorder="1" applyAlignment="1">
      <alignment vertical="center"/>
    </xf>
    <xf numFmtId="0" fontId="9" fillId="0" borderId="37" xfId="0" applyFont="1" applyBorder="1" applyAlignment="1">
      <alignment vertical="center"/>
    </xf>
    <xf numFmtId="0" fontId="9" fillId="0" borderId="11" xfId="0" applyFont="1" applyBorder="1" applyAlignment="1">
      <alignment horizontal="left" vertical="center" shrinkToFit="1"/>
    </xf>
    <xf numFmtId="0" fontId="9" fillId="0" borderId="14" xfId="0" applyFont="1" applyBorder="1" applyAlignment="1">
      <alignment horizontal="left" vertical="center" shrinkToFit="1"/>
    </xf>
    <xf numFmtId="0" fontId="9" fillId="0" borderId="29" xfId="0" applyFont="1" applyBorder="1" applyAlignment="1">
      <alignment vertical="center" shrinkToFit="1"/>
    </xf>
    <xf numFmtId="0" fontId="2" fillId="2" borderId="20" xfId="0" quotePrefix="1" applyFont="1" applyFill="1" applyBorder="1" applyAlignment="1">
      <alignment horizontal="right" vertical="center"/>
    </xf>
    <xf numFmtId="0" fontId="9" fillId="0" borderId="16" xfId="0" applyFont="1" applyBorder="1"/>
    <xf numFmtId="0" fontId="9" fillId="0" borderId="17" xfId="0" applyFont="1" applyBorder="1" applyAlignment="1">
      <alignment horizontal="center"/>
    </xf>
    <xf numFmtId="0" fontId="9" fillId="0" borderId="18" xfId="0" applyFont="1" applyBorder="1"/>
    <xf numFmtId="0" fontId="9" fillId="0" borderId="17" xfId="0" applyFont="1" applyBorder="1"/>
    <xf numFmtId="0" fontId="30" fillId="0" borderId="12" xfId="0" applyFont="1" applyBorder="1"/>
    <xf numFmtId="0" fontId="32" fillId="0" borderId="41" xfId="0" applyFont="1" applyBorder="1"/>
    <xf numFmtId="0" fontId="28" fillId="0" borderId="0" xfId="0" applyFont="1"/>
    <xf numFmtId="0" fontId="23" fillId="0" borderId="0" xfId="0" applyFont="1"/>
    <xf numFmtId="0" fontId="9" fillId="0" borderId="55" xfId="0" applyFont="1" applyBorder="1"/>
    <xf numFmtId="0" fontId="26" fillId="0" borderId="0" xfId="0" applyFont="1"/>
    <xf numFmtId="0" fontId="28" fillId="0" borderId="47" xfId="0" applyFont="1" applyBorder="1"/>
    <xf numFmtId="0" fontId="23" fillId="0" borderId="48" xfId="0" applyFont="1" applyBorder="1"/>
    <xf numFmtId="177" fontId="23" fillId="0" borderId="48" xfId="0" applyNumberFormat="1" applyFont="1" applyBorder="1" applyAlignment="1">
      <alignment horizontal="right"/>
    </xf>
    <xf numFmtId="0" fontId="23" fillId="0" borderId="51" xfId="0" applyFont="1" applyBorder="1"/>
    <xf numFmtId="0" fontId="34" fillId="0" borderId="0" xfId="0" applyFont="1"/>
    <xf numFmtId="0" fontId="23" fillId="0" borderId="7" xfId="0" applyFont="1" applyBorder="1" applyAlignment="1">
      <alignment vertical="center"/>
    </xf>
    <xf numFmtId="0" fontId="23" fillId="0" borderId="8" xfId="0" applyFont="1" applyBorder="1" applyAlignment="1">
      <alignment vertical="center"/>
    </xf>
    <xf numFmtId="177" fontId="23" fillId="0" borderId="8" xfId="0" applyNumberFormat="1" applyFont="1" applyBorder="1" applyAlignment="1">
      <alignment horizontal="right" vertical="center"/>
    </xf>
    <xf numFmtId="0" fontId="23" fillId="0" borderId="50" xfId="0" applyFont="1" applyBorder="1"/>
    <xf numFmtId="0" fontId="23" fillId="0" borderId="8" xfId="0" applyFont="1" applyBorder="1"/>
    <xf numFmtId="0" fontId="23" fillId="0" borderId="9" xfId="0" applyFont="1" applyBorder="1"/>
    <xf numFmtId="0" fontId="23" fillId="0" borderId="47" xfId="0" applyFont="1" applyBorder="1" applyAlignment="1">
      <alignment vertical="center"/>
    </xf>
    <xf numFmtId="0" fontId="23" fillId="0" borderId="48" xfId="0" applyFont="1" applyBorder="1" applyAlignment="1">
      <alignment vertical="center"/>
    </xf>
    <xf numFmtId="177" fontId="23" fillId="0" borderId="48" xfId="0" applyNumberFormat="1" applyFont="1" applyBorder="1" applyAlignment="1">
      <alignment horizontal="right" vertical="center"/>
    </xf>
    <xf numFmtId="0" fontId="23" fillId="0" borderId="49" xfId="0" applyFont="1" applyBorder="1"/>
    <xf numFmtId="0" fontId="25" fillId="0" borderId="6" xfId="0" applyFont="1" applyBorder="1" applyAlignment="1">
      <alignment horizontal="right"/>
    </xf>
    <xf numFmtId="0" fontId="10" fillId="0" borderId="12" xfId="0" applyFont="1" applyBorder="1"/>
    <xf numFmtId="0" fontId="10" fillId="0" borderId="12" xfId="0" applyFont="1" applyBorder="1" applyAlignment="1">
      <alignment horizontal="center"/>
    </xf>
    <xf numFmtId="0" fontId="12" fillId="0" borderId="59" xfId="0" applyFont="1" applyBorder="1"/>
    <xf numFmtId="14" fontId="0" fillId="0" borderId="0" xfId="0" applyNumberFormat="1"/>
    <xf numFmtId="0" fontId="0" fillId="3" borderId="1" xfId="0" quotePrefix="1" applyFill="1" applyBorder="1"/>
    <xf numFmtId="0" fontId="0" fillId="0" borderId="60" xfId="0" applyBorder="1" applyAlignment="1">
      <alignment vertical="center"/>
    </xf>
    <xf numFmtId="14" fontId="0" fillId="0" borderId="61" xfId="0" applyNumberFormat="1" applyBorder="1" applyAlignment="1">
      <alignment horizontal="center" vertical="center"/>
    </xf>
    <xf numFmtId="0" fontId="9" fillId="0" borderId="60" xfId="0" applyFont="1" applyBorder="1" applyAlignment="1">
      <alignment vertical="center"/>
    </xf>
    <xf numFmtId="14" fontId="9" fillId="0" borderId="61" xfId="0" applyNumberFormat="1" applyFont="1" applyBorder="1" applyAlignment="1">
      <alignment horizontal="center" vertical="center"/>
    </xf>
    <xf numFmtId="0" fontId="21" fillId="0" borderId="5" xfId="0" applyFont="1" applyBorder="1" applyAlignment="1">
      <alignment vertical="top"/>
    </xf>
    <xf numFmtId="0" fontId="22" fillId="0" borderId="0" xfId="0" applyFont="1" applyAlignment="1">
      <alignment vertical="top"/>
    </xf>
    <xf numFmtId="0" fontId="21" fillId="0" borderId="0" xfId="0" applyFont="1"/>
    <xf numFmtId="177" fontId="10" fillId="0" borderId="1" xfId="0" applyNumberFormat="1" applyFont="1" applyBorder="1"/>
    <xf numFmtId="0" fontId="10" fillId="0" borderId="1" xfId="0" applyFont="1" applyBorder="1" applyAlignment="1">
      <alignment horizontal="center"/>
    </xf>
    <xf numFmtId="14" fontId="10" fillId="0" borderId="1" xfId="0" applyNumberFormat="1" applyFont="1" applyBorder="1"/>
    <xf numFmtId="0" fontId="9" fillId="4" borderId="1" xfId="0" applyFont="1" applyFill="1" applyBorder="1"/>
    <xf numFmtId="0" fontId="23" fillId="4" borderId="1" xfId="0" applyFont="1" applyFill="1" applyBorder="1"/>
    <xf numFmtId="0" fontId="9" fillId="4" borderId="11" xfId="0" applyFont="1" applyFill="1" applyBorder="1"/>
    <xf numFmtId="0" fontId="10" fillId="4" borderId="11" xfId="0" applyFont="1" applyFill="1" applyBorder="1"/>
    <xf numFmtId="0" fontId="10" fillId="4" borderId="7" xfId="0" applyFont="1" applyFill="1" applyBorder="1"/>
    <xf numFmtId="177" fontId="10" fillId="4" borderId="59" xfId="0" applyNumberFormat="1" applyFont="1" applyFill="1" applyBorder="1"/>
    <xf numFmtId="0" fontId="10" fillId="4" borderId="59" xfId="0" applyFont="1" applyFill="1" applyBorder="1"/>
    <xf numFmtId="0" fontId="10" fillId="4" borderId="9" xfId="0" applyFont="1" applyFill="1" applyBorder="1"/>
    <xf numFmtId="0" fontId="0" fillId="4" borderId="11" xfId="0" applyFill="1" applyBorder="1"/>
    <xf numFmtId="0" fontId="0" fillId="4" borderId="0" xfId="0" applyFill="1"/>
    <xf numFmtId="0" fontId="0" fillId="4" borderId="5" xfId="0" applyFill="1" applyBorder="1"/>
    <xf numFmtId="14" fontId="18" fillId="0" borderId="6" xfId="0" applyNumberFormat="1" applyFont="1" applyBorder="1" applyAlignment="1">
      <alignment horizontal="right"/>
    </xf>
    <xf numFmtId="0" fontId="10" fillId="4" borderId="2" xfId="0" applyFont="1" applyFill="1" applyBorder="1"/>
    <xf numFmtId="0" fontId="10" fillId="4" borderId="4" xfId="0" applyFont="1" applyFill="1" applyBorder="1"/>
    <xf numFmtId="0" fontId="35" fillId="0" borderId="0" xfId="0" applyFont="1" applyAlignment="1">
      <alignment vertical="center"/>
    </xf>
    <xf numFmtId="0" fontId="36" fillId="0" borderId="0" xfId="0" applyFont="1" applyAlignment="1">
      <alignment vertical="center"/>
    </xf>
    <xf numFmtId="0" fontId="13" fillId="2" borderId="30" xfId="0" applyFont="1" applyFill="1" applyBorder="1" applyAlignment="1">
      <alignment vertical="center"/>
    </xf>
    <xf numFmtId="0" fontId="13" fillId="2" borderId="56" xfId="0" applyFont="1" applyFill="1" applyBorder="1" applyAlignment="1">
      <alignment vertical="center"/>
    </xf>
    <xf numFmtId="0" fontId="0" fillId="0" borderId="68" xfId="0" applyBorder="1" applyAlignment="1">
      <alignment vertical="center"/>
    </xf>
    <xf numFmtId="0" fontId="0" fillId="0" borderId="71" xfId="0" applyBorder="1" applyAlignment="1">
      <alignment vertical="center"/>
    </xf>
    <xf numFmtId="0" fontId="0" fillId="0" borderId="66" xfId="0" applyBorder="1" applyAlignment="1">
      <alignment vertical="center"/>
    </xf>
    <xf numFmtId="0" fontId="0" fillId="2" borderId="34" xfId="0" applyFill="1" applyBorder="1" applyAlignment="1">
      <alignment vertical="center"/>
    </xf>
    <xf numFmtId="0" fontId="0" fillId="2" borderId="20" xfId="0" applyFill="1" applyBorder="1" applyAlignment="1">
      <alignment horizontal="center" vertical="center"/>
    </xf>
    <xf numFmtId="14" fontId="0" fillId="2" borderId="0" xfId="0" applyNumberFormat="1" applyFill="1" applyAlignment="1">
      <alignment horizontal="center" vertical="center"/>
    </xf>
    <xf numFmtId="0" fontId="8" fillId="2" borderId="0" xfId="0" applyFont="1" applyFill="1" applyAlignment="1">
      <alignment horizontal="center" vertical="center"/>
    </xf>
    <xf numFmtId="0" fontId="0" fillId="2" borderId="71" xfId="0" applyFill="1" applyBorder="1" applyAlignment="1">
      <alignment vertical="center"/>
    </xf>
    <xf numFmtId="0" fontId="8" fillId="2" borderId="20" xfId="0" applyFont="1" applyFill="1" applyBorder="1" applyAlignment="1">
      <alignment horizontal="center" vertical="center"/>
    </xf>
    <xf numFmtId="0" fontId="0" fillId="2" borderId="0" xfId="0" applyFill="1" applyAlignment="1">
      <alignment horizontal="center" vertical="center" shrinkToFit="1"/>
    </xf>
    <xf numFmtId="178" fontId="0" fillId="2" borderId="0" xfId="0" applyNumberFormat="1" applyFill="1" applyAlignment="1">
      <alignment vertical="center" shrinkToFit="1"/>
    </xf>
    <xf numFmtId="178" fontId="0" fillId="2" borderId="20" xfId="0" applyNumberFormat="1" applyFill="1" applyBorder="1" applyAlignment="1">
      <alignment vertical="center" shrinkToFit="1"/>
    </xf>
    <xf numFmtId="0" fontId="0" fillId="2" borderId="72" xfId="0" applyFill="1" applyBorder="1" applyAlignment="1">
      <alignment vertical="center"/>
    </xf>
    <xf numFmtId="0" fontId="0" fillId="2" borderId="69" xfId="0" applyFill="1" applyBorder="1" applyAlignment="1">
      <alignment vertical="center"/>
    </xf>
    <xf numFmtId="0" fontId="0" fillId="0" borderId="73" xfId="0" applyBorder="1" applyAlignment="1">
      <alignment vertical="center"/>
    </xf>
    <xf numFmtId="0" fontId="0" fillId="0" borderId="75" xfId="0" applyBorder="1" applyAlignment="1">
      <alignment vertical="center"/>
    </xf>
    <xf numFmtId="0" fontId="0" fillId="0" borderId="76" xfId="0" applyBorder="1" applyAlignment="1">
      <alignment vertical="center"/>
    </xf>
    <xf numFmtId="0" fontId="0" fillId="0" borderId="77" xfId="0" applyBorder="1" applyAlignment="1">
      <alignment vertical="center"/>
    </xf>
    <xf numFmtId="0" fontId="13" fillId="2" borderId="72" xfId="0" applyFont="1" applyFill="1" applyBorder="1" applyAlignment="1">
      <alignment vertical="center"/>
    </xf>
    <xf numFmtId="0" fontId="0" fillId="0" borderId="73" xfId="0" applyBorder="1" applyAlignment="1">
      <alignment horizontal="left" vertical="center" shrinkToFit="1"/>
    </xf>
    <xf numFmtId="0" fontId="0" fillId="0" borderId="78" xfId="0" applyBorder="1" applyAlignment="1">
      <alignment vertical="center"/>
    </xf>
    <xf numFmtId="0" fontId="0" fillId="0" borderId="79" xfId="0" applyBorder="1" applyAlignment="1">
      <alignment vertical="center"/>
    </xf>
    <xf numFmtId="0" fontId="0" fillId="0" borderId="80" xfId="0" applyBorder="1" applyAlignment="1">
      <alignment vertical="center"/>
    </xf>
    <xf numFmtId="0" fontId="0" fillId="2" borderId="81" xfId="0" applyFill="1" applyBorder="1" applyAlignment="1">
      <alignment vertical="center"/>
    </xf>
    <xf numFmtId="0" fontId="0" fillId="0" borderId="82" xfId="0" applyBorder="1" applyAlignment="1">
      <alignment horizontal="center" vertical="center" shrinkToFit="1"/>
    </xf>
    <xf numFmtId="0" fontId="0" fillId="0" borderId="82" xfId="0" applyBorder="1" applyAlignment="1">
      <alignment vertical="center"/>
    </xf>
    <xf numFmtId="0" fontId="38" fillId="0" borderId="6" xfId="0" applyFont="1" applyBorder="1" applyAlignment="1">
      <alignment horizontal="center" vertical="center"/>
    </xf>
    <xf numFmtId="0" fontId="9" fillId="0" borderId="0" xfId="0" applyFont="1" applyAlignment="1">
      <alignment horizontal="center" shrinkToFit="1"/>
    </xf>
    <xf numFmtId="0" fontId="24" fillId="0" borderId="0" xfId="0" applyFont="1" applyAlignment="1">
      <alignment horizontal="center" vertical="center" wrapText="1"/>
    </xf>
    <xf numFmtId="0" fontId="8" fillId="0" borderId="57" xfId="0" applyFont="1" applyBorder="1" applyAlignment="1">
      <alignment horizontal="center" vertical="center"/>
    </xf>
    <xf numFmtId="0" fontId="0" fillId="0" borderId="83" xfId="0" applyBorder="1" applyAlignment="1">
      <alignment vertical="center"/>
    </xf>
    <xf numFmtId="0" fontId="10" fillId="4" borderId="64" xfId="0" applyFont="1" applyFill="1" applyBorder="1"/>
    <xf numFmtId="0" fontId="10" fillId="4" borderId="65" xfId="0" applyFont="1" applyFill="1" applyBorder="1"/>
    <xf numFmtId="0" fontId="10" fillId="0" borderId="63" xfId="0" applyFont="1" applyBorder="1"/>
    <xf numFmtId="0" fontId="0" fillId="0" borderId="0" xfId="0" applyAlignment="1">
      <alignment horizontal="center" vertical="center" shrinkToFit="1"/>
    </xf>
    <xf numFmtId="0" fontId="18" fillId="0" borderId="0" xfId="0" applyFont="1" applyAlignment="1">
      <alignment vertical="center"/>
    </xf>
    <xf numFmtId="0" fontId="0" fillId="0" borderId="55" xfId="0" applyBorder="1" applyAlignment="1">
      <alignment horizontal="right"/>
    </xf>
    <xf numFmtId="49" fontId="9" fillId="0" borderId="84" xfId="0" quotePrefix="1" applyNumberFormat="1" applyFont="1" applyBorder="1" applyAlignment="1">
      <alignment horizontal="left"/>
    </xf>
    <xf numFmtId="0" fontId="0" fillId="0" borderId="55" xfId="0" applyBorder="1" applyAlignment="1">
      <alignment horizontal="center"/>
    </xf>
    <xf numFmtId="0" fontId="0" fillId="0" borderId="84" xfId="0" applyBorder="1"/>
    <xf numFmtId="0" fontId="0" fillId="0" borderId="84" xfId="0" applyBorder="1" applyAlignment="1">
      <alignment horizontal="center"/>
    </xf>
    <xf numFmtId="14" fontId="0" fillId="0" borderId="85" xfId="0" applyNumberFormat="1" applyBorder="1" applyAlignment="1">
      <alignment horizontal="center"/>
    </xf>
    <xf numFmtId="0" fontId="0" fillId="0" borderId="87" xfId="0" applyBorder="1" applyAlignment="1">
      <alignment horizontal="right"/>
    </xf>
    <xf numFmtId="0" fontId="0" fillId="0" borderId="88" xfId="0" applyBorder="1"/>
    <xf numFmtId="0" fontId="0" fillId="0" borderId="89" xfId="0" applyBorder="1"/>
    <xf numFmtId="0" fontId="0" fillId="0" borderId="84" xfId="0" applyBorder="1" applyAlignment="1">
      <alignment horizontal="center" shrinkToFit="1"/>
    </xf>
    <xf numFmtId="0" fontId="0" fillId="0" borderId="55" xfId="0" applyBorder="1" applyAlignment="1">
      <alignment horizontal="right" shrinkToFit="1"/>
    </xf>
    <xf numFmtId="14" fontId="0" fillId="0" borderId="84" xfId="0" applyNumberFormat="1" applyBorder="1" applyAlignment="1">
      <alignment horizontal="center"/>
    </xf>
    <xf numFmtId="14" fontId="0" fillId="0" borderId="55" xfId="0" applyNumberFormat="1" applyBorder="1" applyAlignment="1">
      <alignment horizontal="center"/>
    </xf>
    <xf numFmtId="0" fontId="18" fillId="0" borderId="87" xfId="0" applyFont="1" applyBorder="1" applyAlignment="1">
      <alignment vertical="center"/>
    </xf>
    <xf numFmtId="0" fontId="0" fillId="0" borderId="86" xfId="0" applyBorder="1" applyAlignment="1">
      <alignment horizontal="center" shrinkToFit="1"/>
    </xf>
    <xf numFmtId="0" fontId="37" fillId="0" borderId="61" xfId="0" applyFont="1" applyBorder="1" applyAlignment="1">
      <alignment horizontal="center" vertical="center"/>
    </xf>
    <xf numFmtId="0" fontId="38" fillId="0" borderId="42" xfId="0" applyFont="1" applyBorder="1" applyAlignment="1">
      <alignment horizontal="center" vertical="center"/>
    </xf>
    <xf numFmtId="0" fontId="10" fillId="0" borderId="87" xfId="0" applyFont="1" applyBorder="1"/>
    <xf numFmtId="0" fontId="2" fillId="0" borderId="87" xfId="0" applyFont="1" applyBorder="1" applyAlignment="1">
      <alignment horizontal="distributed" vertical="top"/>
    </xf>
    <xf numFmtId="0" fontId="2" fillId="0" borderId="85" xfId="0" applyFont="1" applyBorder="1" applyAlignment="1">
      <alignment horizontal="distributed" vertical="top"/>
    </xf>
    <xf numFmtId="0" fontId="10" fillId="0" borderId="55" xfId="0" applyFont="1" applyBorder="1" applyAlignment="1">
      <alignment horizontal="center" shrinkToFit="1"/>
    </xf>
    <xf numFmtId="0" fontId="10" fillId="0" borderId="84" xfId="0" applyFont="1" applyBorder="1" applyAlignment="1">
      <alignment horizontal="center"/>
    </xf>
    <xf numFmtId="0" fontId="10" fillId="0" borderId="55" xfId="0" applyFont="1" applyBorder="1"/>
    <xf numFmtId="0" fontId="2" fillId="0" borderId="55" xfId="0" applyFont="1" applyBorder="1" applyAlignment="1">
      <alignment horizontal="distributed" vertical="top"/>
    </xf>
    <xf numFmtId="0" fontId="23" fillId="0" borderId="7" xfId="0" applyFont="1" applyBorder="1" applyAlignment="1">
      <alignment horizontal="center"/>
    </xf>
    <xf numFmtId="180" fontId="23" fillId="0" borderId="49" xfId="0" applyNumberFormat="1" applyFont="1" applyBorder="1" applyAlignment="1">
      <alignment horizontal="right"/>
    </xf>
    <xf numFmtId="180" fontId="23" fillId="0" borderId="9" xfId="0" applyNumberFormat="1" applyFont="1" applyBorder="1" applyAlignment="1">
      <alignment horizontal="right" vertical="center"/>
    </xf>
    <xf numFmtId="0" fontId="0" fillId="0" borderId="11" xfId="0" applyBorder="1" applyAlignment="1">
      <alignment horizontal="left" vertical="center" shrinkToFit="1"/>
    </xf>
    <xf numFmtId="0" fontId="0" fillId="0" borderId="0" xfId="0" applyAlignment="1">
      <alignment horizontal="left" vertical="top" wrapText="1"/>
    </xf>
    <xf numFmtId="14" fontId="0" fillId="0" borderId="12" xfId="0" applyNumberFormat="1" applyBorder="1" applyAlignment="1">
      <alignment horizontal="center"/>
    </xf>
    <xf numFmtId="0" fontId="23" fillId="0" borderId="0" xfId="0" applyFont="1" applyAlignment="1">
      <alignment horizontal="left" vertical="center"/>
    </xf>
    <xf numFmtId="0" fontId="10" fillId="0" borderId="0" xfId="0" applyFont="1" applyAlignment="1">
      <alignment horizontal="center" vertical="center"/>
    </xf>
    <xf numFmtId="0" fontId="25" fillId="2" borderId="0" xfId="0" applyFont="1" applyFill="1" applyAlignment="1">
      <alignment horizontal="center" vertical="center" shrinkToFit="1"/>
    </xf>
    <xf numFmtId="0" fontId="39" fillId="0" borderId="0" xfId="0" applyFont="1" applyAlignment="1">
      <alignment vertical="top" wrapText="1"/>
    </xf>
    <xf numFmtId="0" fontId="39" fillId="0" borderId="0" xfId="0" applyFont="1"/>
    <xf numFmtId="0" fontId="39" fillId="0" borderId="0" xfId="0" applyFont="1" applyAlignment="1">
      <alignment vertical="top"/>
    </xf>
    <xf numFmtId="0" fontId="39" fillId="0" borderId="0" xfId="0" applyFont="1" applyAlignment="1">
      <alignment vertical="center"/>
    </xf>
    <xf numFmtId="49" fontId="0" fillId="0" borderId="12" xfId="0" applyNumberFormat="1" applyBorder="1" applyAlignment="1">
      <alignment horizontal="center"/>
    </xf>
    <xf numFmtId="0" fontId="40" fillId="0" borderId="58" xfId="0" applyFont="1" applyBorder="1" applyAlignment="1">
      <alignment horizontal="center" vertical="center" shrinkToFit="1"/>
    </xf>
    <xf numFmtId="14" fontId="0" fillId="2" borderId="61" xfId="0" applyNumberFormat="1" applyFill="1" applyBorder="1" applyAlignment="1">
      <alignment horizontal="center" vertical="center"/>
    </xf>
    <xf numFmtId="0" fontId="0" fillId="0" borderId="90" xfId="0" applyBorder="1"/>
    <xf numFmtId="0" fontId="10" fillId="0" borderId="0" xfId="0" applyFont="1" applyAlignment="1">
      <alignment vertical="center"/>
    </xf>
    <xf numFmtId="0" fontId="10" fillId="0" borderId="0" xfId="0" applyFont="1" applyAlignment="1">
      <alignment vertical="top"/>
    </xf>
    <xf numFmtId="178" fontId="23" fillId="0" borderId="0" xfId="0" applyNumberFormat="1" applyFont="1" applyAlignment="1">
      <alignment horizontal="left" vertical="center"/>
    </xf>
    <xf numFmtId="0" fontId="41" fillId="0" borderId="4" xfId="0" applyFont="1" applyBorder="1" applyAlignment="1">
      <alignment horizontal="center" vertical="center"/>
    </xf>
    <xf numFmtId="0" fontId="13" fillId="2" borderId="92" xfId="0" applyFont="1" applyFill="1" applyBorder="1" applyAlignment="1">
      <alignment horizontal="left" vertical="center"/>
    </xf>
    <xf numFmtId="178" fontId="0" fillId="2" borderId="8" xfId="0" applyNumberFormat="1" applyFill="1" applyBorder="1" applyAlignment="1">
      <alignment vertical="center" shrinkToFit="1"/>
    </xf>
    <xf numFmtId="0" fontId="0" fillId="0" borderId="93" xfId="0" applyBorder="1" applyAlignment="1">
      <alignment vertical="center"/>
    </xf>
    <xf numFmtId="0" fontId="0" fillId="0" borderId="94" xfId="0" applyBorder="1" applyAlignment="1">
      <alignment vertical="center"/>
    </xf>
    <xf numFmtId="0" fontId="38" fillId="0" borderId="95" xfId="0" applyFont="1" applyBorder="1" applyAlignment="1">
      <alignment horizontal="center" vertical="center"/>
    </xf>
    <xf numFmtId="0" fontId="42" fillId="0" borderId="0" xfId="0" applyFont="1" applyAlignment="1">
      <alignment vertical="center"/>
    </xf>
    <xf numFmtId="0" fontId="42" fillId="0" borderId="0" xfId="0" applyFont="1"/>
    <xf numFmtId="0" fontId="42" fillId="0" borderId="14" xfId="0" applyFont="1" applyBorder="1" applyAlignment="1">
      <alignment vertical="center"/>
    </xf>
    <xf numFmtId="0" fontId="42" fillId="0" borderId="10" xfId="0" applyFont="1" applyBorder="1" applyAlignment="1">
      <alignment horizontal="center" vertical="center" shrinkToFit="1"/>
    </xf>
    <xf numFmtId="0" fontId="42" fillId="0" borderId="73" xfId="0" applyFont="1" applyBorder="1" applyAlignment="1">
      <alignment vertical="center"/>
    </xf>
    <xf numFmtId="178" fontId="42" fillId="0" borderId="10" xfId="0" applyNumberFormat="1" applyFont="1" applyBorder="1" applyAlignment="1">
      <alignment vertical="center" shrinkToFit="1"/>
    </xf>
    <xf numFmtId="0" fontId="42" fillId="0" borderId="11" xfId="0" applyFont="1" applyBorder="1" applyAlignment="1">
      <alignment vertical="center"/>
    </xf>
    <xf numFmtId="0" fontId="42" fillId="0" borderId="60" xfId="0" applyFont="1" applyBorder="1" applyAlignment="1">
      <alignment vertical="center"/>
    </xf>
    <xf numFmtId="0" fontId="42" fillId="0" borderId="77" xfId="0" applyFont="1" applyBorder="1" applyAlignment="1">
      <alignment vertical="center"/>
    </xf>
    <xf numFmtId="0" fontId="42" fillId="0" borderId="66" xfId="0" applyFont="1" applyBorder="1" applyAlignment="1">
      <alignment vertical="center"/>
    </xf>
    <xf numFmtId="0" fontId="42" fillId="0" borderId="96" xfId="0" applyFont="1" applyBorder="1" applyAlignment="1">
      <alignment vertical="center"/>
    </xf>
    <xf numFmtId="0" fontId="42" fillId="0" borderId="74" xfId="0" applyFont="1" applyBorder="1" applyAlignment="1">
      <alignment vertical="center"/>
    </xf>
    <xf numFmtId="0" fontId="10" fillId="4" borderId="62" xfId="0" applyFont="1" applyFill="1" applyBorder="1"/>
    <xf numFmtId="0" fontId="10" fillId="4" borderId="1" xfId="0" applyFont="1" applyFill="1" applyBorder="1"/>
    <xf numFmtId="0" fontId="10" fillId="0" borderId="42" xfId="0" applyFont="1" applyBorder="1"/>
    <xf numFmtId="0" fontId="10" fillId="0" borderId="11" xfId="0" applyFont="1" applyBorder="1"/>
    <xf numFmtId="0" fontId="10" fillId="3" borderId="1" xfId="0" applyFont="1" applyFill="1" applyBorder="1"/>
    <xf numFmtId="0" fontId="0" fillId="0" borderId="61" xfId="0" applyBorder="1"/>
    <xf numFmtId="0" fontId="9" fillId="3" borderId="1" xfId="0" applyFont="1" applyFill="1" applyBorder="1"/>
    <xf numFmtId="0" fontId="10" fillId="0" borderId="102" xfId="0" applyFont="1" applyBorder="1"/>
    <xf numFmtId="0" fontId="21" fillId="0" borderId="102" xfId="0" applyFont="1" applyBorder="1"/>
    <xf numFmtId="0" fontId="42" fillId="0" borderId="103" xfId="0" applyFont="1" applyBorder="1"/>
    <xf numFmtId="0" fontId="0" fillId="0" borderId="103" xfId="0" applyBorder="1"/>
    <xf numFmtId="0" fontId="10" fillId="5" borderId="0" xfId="0" applyFont="1" applyFill="1"/>
    <xf numFmtId="0" fontId="10" fillId="0" borderId="14" xfId="0" applyFont="1" applyBorder="1" applyAlignment="1">
      <alignment vertical="center"/>
    </xf>
    <xf numFmtId="0" fontId="10" fillId="0" borderId="10" xfId="0" applyFont="1" applyBorder="1" applyAlignment="1">
      <alignment horizontal="center" vertical="center" shrinkToFit="1"/>
    </xf>
    <xf numFmtId="0" fontId="10" fillId="0" borderId="73" xfId="0" applyFont="1" applyBorder="1" applyAlignment="1">
      <alignment vertical="center"/>
    </xf>
    <xf numFmtId="178" fontId="10" fillId="0" borderId="10" xfId="0" applyNumberFormat="1" applyFont="1" applyBorder="1" applyAlignment="1">
      <alignment vertical="center" shrinkToFit="1"/>
    </xf>
    <xf numFmtId="0" fontId="10" fillId="0" borderId="11" xfId="0" applyFont="1" applyBorder="1" applyAlignment="1">
      <alignment vertical="center"/>
    </xf>
    <xf numFmtId="0" fontId="10" fillId="0" borderId="60" xfId="0" applyFont="1" applyBorder="1" applyAlignment="1">
      <alignment vertical="center"/>
    </xf>
    <xf numFmtId="0" fontId="10" fillId="0" borderId="77" xfId="0" applyFont="1" applyBorder="1" applyAlignment="1">
      <alignment vertical="center"/>
    </xf>
    <xf numFmtId="0" fontId="10" fillId="0" borderId="66" xfId="0" applyFont="1" applyBorder="1" applyAlignment="1">
      <alignment vertical="center"/>
    </xf>
    <xf numFmtId="0" fontId="10" fillId="0" borderId="96" xfId="0" applyFont="1" applyBorder="1" applyAlignment="1">
      <alignment vertical="center"/>
    </xf>
    <xf numFmtId="0" fontId="10" fillId="0" borderId="74" xfId="0" applyFont="1" applyBorder="1" applyAlignment="1">
      <alignment vertical="center"/>
    </xf>
    <xf numFmtId="0" fontId="9" fillId="0" borderId="90" xfId="0" applyFont="1" applyBorder="1"/>
    <xf numFmtId="14" fontId="9" fillId="0" borderId="0" xfId="0" applyNumberFormat="1" applyFont="1" applyAlignment="1">
      <alignment horizontal="center"/>
    </xf>
    <xf numFmtId="49" fontId="9" fillId="0" borderId="12" xfId="0" applyNumberFormat="1" applyFont="1" applyBorder="1" applyAlignment="1">
      <alignment horizontal="center"/>
    </xf>
    <xf numFmtId="0" fontId="9" fillId="0" borderId="55" xfId="0" applyFont="1" applyBorder="1" applyAlignment="1">
      <alignment horizontal="right"/>
    </xf>
    <xf numFmtId="0" fontId="9" fillId="0" borderId="55" xfId="0" applyFont="1" applyBorder="1" applyAlignment="1">
      <alignment horizontal="center"/>
    </xf>
    <xf numFmtId="0" fontId="9" fillId="0" borderId="84" xfId="0" applyFont="1" applyBorder="1"/>
    <xf numFmtId="0" fontId="9" fillId="0" borderId="84" xfId="0" applyFont="1" applyBorder="1" applyAlignment="1">
      <alignment horizontal="center"/>
    </xf>
    <xf numFmtId="0" fontId="9" fillId="0" borderId="88" xfId="0" applyFont="1" applyBorder="1"/>
    <xf numFmtId="0" fontId="9" fillId="0" borderId="87" xfId="0" applyFont="1" applyBorder="1" applyAlignment="1">
      <alignment horizontal="right"/>
    </xf>
    <xf numFmtId="0" fontId="25" fillId="0" borderId="0" xfId="0" applyFont="1" applyAlignment="1">
      <alignment vertical="center"/>
    </xf>
    <xf numFmtId="14" fontId="9" fillId="0" borderId="85" xfId="0" applyNumberFormat="1" applyFont="1" applyBorder="1" applyAlignment="1">
      <alignment horizontal="center"/>
    </xf>
    <xf numFmtId="0" fontId="9" fillId="0" borderId="84" xfId="0" applyFont="1" applyBorder="1" applyAlignment="1">
      <alignment horizontal="center" shrinkToFit="1"/>
    </xf>
    <xf numFmtId="0" fontId="9" fillId="0" borderId="55" xfId="0" applyFont="1" applyBorder="1" applyAlignment="1">
      <alignment horizontal="right" shrinkToFit="1"/>
    </xf>
    <xf numFmtId="14" fontId="9" fillId="0" borderId="84" xfId="0" applyNumberFormat="1" applyFont="1" applyBorder="1" applyAlignment="1">
      <alignment horizontal="center"/>
    </xf>
    <xf numFmtId="14" fontId="9" fillId="0" borderId="55" xfId="0" applyNumberFormat="1" applyFont="1" applyBorder="1" applyAlignment="1">
      <alignment horizontal="center"/>
    </xf>
    <xf numFmtId="0" fontId="25" fillId="0" borderId="87" xfId="0" applyFont="1" applyBorder="1" applyAlignment="1">
      <alignment vertical="center"/>
    </xf>
    <xf numFmtId="0" fontId="9" fillId="0" borderId="89" xfId="0" applyFont="1" applyBorder="1"/>
    <xf numFmtId="0" fontId="9" fillId="0" borderId="86" xfId="0" applyFont="1" applyBorder="1" applyAlignment="1">
      <alignment horizontal="center" shrinkToFit="1"/>
    </xf>
    <xf numFmtId="0" fontId="9" fillId="0" borderId="0" xfId="0" applyFont="1" applyAlignment="1">
      <alignment horizontal="center" vertical="center" shrinkToFit="1"/>
    </xf>
    <xf numFmtId="0" fontId="9" fillId="0" borderId="83" xfId="0" applyFont="1" applyBorder="1" applyAlignment="1">
      <alignment vertical="center"/>
    </xf>
    <xf numFmtId="0" fontId="9" fillId="0" borderId="90" xfId="0" applyFont="1" applyBorder="1" applyAlignment="1">
      <alignment vertical="center"/>
    </xf>
    <xf numFmtId="0" fontId="26" fillId="0" borderId="57" xfId="0" applyFont="1" applyBorder="1" applyAlignment="1">
      <alignment horizontal="center" vertical="center"/>
    </xf>
    <xf numFmtId="0" fontId="44" fillId="0" borderId="58" xfId="0" applyFont="1" applyBorder="1" applyAlignment="1">
      <alignment horizontal="center" vertical="center" shrinkToFit="1"/>
    </xf>
    <xf numFmtId="178" fontId="9" fillId="0" borderId="10" xfId="0" applyNumberFormat="1" applyFont="1" applyBorder="1" applyAlignment="1">
      <alignment vertical="center" shrinkToFit="1"/>
    </xf>
    <xf numFmtId="0" fontId="9" fillId="0" borderId="82" xfId="0" applyFont="1" applyBorder="1" applyAlignment="1">
      <alignment horizontal="center" vertical="center" shrinkToFit="1"/>
    </xf>
    <xf numFmtId="0" fontId="9" fillId="0" borderId="82" xfId="0" applyFont="1" applyBorder="1" applyAlignment="1">
      <alignment vertical="center"/>
    </xf>
    <xf numFmtId="0" fontId="9" fillId="2" borderId="72" xfId="0" applyFont="1" applyFill="1" applyBorder="1" applyAlignment="1">
      <alignment vertical="center"/>
    </xf>
    <xf numFmtId="0" fontId="9" fillId="2" borderId="69" xfId="0" applyFont="1" applyFill="1" applyBorder="1" applyAlignment="1">
      <alignment vertical="center"/>
    </xf>
    <xf numFmtId="0" fontId="9" fillId="0" borderId="73" xfId="0" applyFont="1" applyBorder="1" applyAlignment="1">
      <alignment vertical="center"/>
    </xf>
    <xf numFmtId="14" fontId="9" fillId="2" borderId="0" xfId="0" applyNumberFormat="1" applyFont="1" applyFill="1" applyAlignment="1">
      <alignment horizontal="center" vertical="center"/>
    </xf>
    <xf numFmtId="0" fontId="9" fillId="0" borderId="75" xfId="0" applyFont="1" applyBorder="1" applyAlignment="1">
      <alignment vertical="center"/>
    </xf>
    <xf numFmtId="0" fontId="26" fillId="2" borderId="0" xfId="0" applyFont="1" applyFill="1" applyAlignment="1">
      <alignment horizontal="center" vertical="center"/>
    </xf>
    <xf numFmtId="0" fontId="9" fillId="2" borderId="81" xfId="0" applyFont="1" applyFill="1" applyBorder="1" applyAlignment="1">
      <alignment vertical="center"/>
    </xf>
    <xf numFmtId="0" fontId="9" fillId="2" borderId="71" xfId="0" applyFont="1" applyFill="1" applyBorder="1" applyAlignment="1">
      <alignment vertical="center"/>
    </xf>
    <xf numFmtId="0" fontId="26" fillId="2" borderId="20" xfId="0" applyFont="1" applyFill="1" applyBorder="1" applyAlignment="1">
      <alignment horizontal="center" vertical="center"/>
    </xf>
    <xf numFmtId="0" fontId="9" fillId="2" borderId="34" xfId="0" applyFont="1" applyFill="1" applyBorder="1" applyAlignment="1">
      <alignment vertical="center"/>
    </xf>
    <xf numFmtId="0" fontId="2" fillId="2" borderId="20" xfId="0" applyFont="1" applyFill="1" applyBorder="1" applyAlignment="1">
      <alignment horizontal="right" vertical="center"/>
    </xf>
    <xf numFmtId="0" fontId="23" fillId="0" borderId="20" xfId="0" applyFont="1" applyBorder="1" applyAlignment="1">
      <alignment horizontal="right" vertical="top"/>
    </xf>
    <xf numFmtId="0" fontId="9" fillId="0" borderId="90" xfId="0" applyFont="1" applyBorder="1" applyAlignment="1">
      <alignment vertical="top"/>
    </xf>
    <xf numFmtId="0" fontId="23" fillId="2" borderId="0" xfId="0" applyFont="1" applyFill="1" applyAlignment="1">
      <alignment horizontal="right" vertical="center"/>
    </xf>
    <xf numFmtId="0" fontId="9" fillId="2" borderId="0" xfId="0" applyFont="1" applyFill="1" applyAlignment="1">
      <alignment horizontal="center" vertical="center" shrinkToFit="1"/>
    </xf>
    <xf numFmtId="178" fontId="9" fillId="2" borderId="0" xfId="0" applyNumberFormat="1" applyFont="1" applyFill="1" applyAlignment="1">
      <alignment vertical="center" shrinkToFit="1"/>
    </xf>
    <xf numFmtId="178" fontId="23" fillId="0" borderId="66" xfId="0" applyNumberFormat="1" applyFont="1" applyBorder="1" applyAlignment="1">
      <alignment horizontal="left" vertical="center"/>
    </xf>
    <xf numFmtId="0" fontId="9" fillId="0" borderId="77" xfId="0" applyFont="1" applyBorder="1" applyAlignment="1">
      <alignment vertical="center"/>
    </xf>
    <xf numFmtId="0" fontId="9" fillId="0" borderId="76" xfId="0" applyFont="1" applyBorder="1" applyAlignment="1">
      <alignment vertical="center"/>
    </xf>
    <xf numFmtId="0" fontId="9" fillId="0" borderId="78" xfId="0" applyFont="1" applyBorder="1" applyAlignment="1">
      <alignment vertical="center"/>
    </xf>
    <xf numFmtId="0" fontId="9" fillId="0" borderId="79" xfId="0" applyFont="1" applyBorder="1" applyAlignment="1">
      <alignment vertical="center"/>
    </xf>
    <xf numFmtId="0" fontId="9" fillId="0" borderId="80" xfId="0" applyFont="1" applyBorder="1" applyAlignment="1">
      <alignment vertical="center"/>
    </xf>
    <xf numFmtId="0" fontId="9" fillId="0" borderId="71" xfId="0" applyFont="1" applyBorder="1" applyAlignment="1">
      <alignment vertical="center"/>
    </xf>
    <xf numFmtId="178" fontId="9" fillId="2" borderId="20" xfId="0" applyNumberFormat="1" applyFont="1" applyFill="1" applyBorder="1" applyAlignment="1">
      <alignment vertical="center" shrinkToFit="1"/>
    </xf>
    <xf numFmtId="0" fontId="23" fillId="0" borderId="20" xfId="0" applyFont="1" applyBorder="1" applyAlignment="1">
      <alignment horizontal="right" vertical="center"/>
    </xf>
    <xf numFmtId="0" fontId="29" fillId="2" borderId="30" xfId="0" applyFont="1" applyFill="1" applyBorder="1" applyAlignment="1">
      <alignment vertical="center"/>
    </xf>
    <xf numFmtId="0" fontId="29" fillId="2" borderId="72" xfId="0" applyFont="1" applyFill="1" applyBorder="1" applyAlignment="1">
      <alignment vertical="center"/>
    </xf>
    <xf numFmtId="0" fontId="29" fillId="2" borderId="56" xfId="0" applyFont="1" applyFill="1" applyBorder="1" applyAlignment="1">
      <alignment vertical="center"/>
    </xf>
    <xf numFmtId="0" fontId="29" fillId="2" borderId="92" xfId="0" applyFont="1" applyFill="1" applyBorder="1" applyAlignment="1">
      <alignment horizontal="left" vertical="center"/>
    </xf>
    <xf numFmtId="0" fontId="9" fillId="0" borderId="66" xfId="0" applyFont="1" applyBorder="1" applyAlignment="1">
      <alignment vertical="center"/>
    </xf>
    <xf numFmtId="178" fontId="9" fillId="2" borderId="8" xfId="0" applyNumberFormat="1" applyFont="1" applyFill="1" applyBorder="1" applyAlignment="1">
      <alignment vertical="center" shrinkToFit="1"/>
    </xf>
    <xf numFmtId="0" fontId="9" fillId="0" borderId="68" xfId="0" applyFont="1" applyBorder="1" applyAlignment="1">
      <alignment vertical="center"/>
    </xf>
    <xf numFmtId="0" fontId="41" fillId="0" borderId="61" xfId="0" applyFont="1" applyBorder="1" applyAlignment="1">
      <alignment horizontal="center" vertical="center"/>
    </xf>
    <xf numFmtId="0" fontId="45" fillId="0" borderId="42" xfId="0" applyFont="1" applyBorder="1" applyAlignment="1">
      <alignment horizontal="center" vertical="center"/>
    </xf>
    <xf numFmtId="0" fontId="45" fillId="0" borderId="6" xfId="0" applyFont="1" applyBorder="1" applyAlignment="1">
      <alignment horizontal="center" vertical="center"/>
    </xf>
    <xf numFmtId="0" fontId="10" fillId="0" borderId="10" xfId="0" applyFont="1" applyBorder="1" applyAlignment="1">
      <alignment horizontal="center" vertical="center"/>
    </xf>
    <xf numFmtId="0" fontId="45" fillId="0" borderId="95" xfId="0" applyFont="1" applyBorder="1" applyAlignment="1">
      <alignment horizontal="center" vertical="center"/>
    </xf>
    <xf numFmtId="0" fontId="9" fillId="0" borderId="94" xfId="0" applyFont="1" applyBorder="1" applyAlignment="1">
      <alignment vertical="center"/>
    </xf>
    <xf numFmtId="0" fontId="9" fillId="0" borderId="73" xfId="0" applyFont="1" applyBorder="1" applyAlignment="1">
      <alignment horizontal="left" vertical="center" shrinkToFit="1"/>
    </xf>
    <xf numFmtId="0" fontId="9" fillId="2" borderId="20" xfId="0" applyFont="1" applyFill="1" applyBorder="1" applyAlignment="1">
      <alignment horizontal="center" vertical="center"/>
    </xf>
    <xf numFmtId="0" fontId="39" fillId="0" borderId="107" xfId="0" applyFont="1" applyBorder="1" applyAlignment="1">
      <alignment vertical="top" wrapText="1"/>
    </xf>
    <xf numFmtId="38" fontId="10" fillId="0" borderId="1" xfId="1" applyFont="1" applyBorder="1" applyAlignment="1"/>
    <xf numFmtId="38" fontId="10" fillId="0" borderId="1" xfId="1" applyFont="1" applyFill="1" applyBorder="1" applyAlignment="1"/>
    <xf numFmtId="0" fontId="10" fillId="0" borderId="61" xfId="0" applyFont="1" applyBorder="1"/>
    <xf numFmtId="0" fontId="10" fillId="0" borderId="10" xfId="0" applyFont="1" applyBorder="1"/>
    <xf numFmtId="0" fontId="10" fillId="4" borderId="97" xfId="0" applyFont="1" applyFill="1" applyBorder="1"/>
    <xf numFmtId="0" fontId="10" fillId="4" borderId="98" xfId="0" applyFont="1" applyFill="1" applyBorder="1"/>
    <xf numFmtId="0" fontId="10" fillId="4" borderId="99" xfId="0" applyFont="1" applyFill="1" applyBorder="1"/>
    <xf numFmtId="38" fontId="10" fillId="0" borderId="99" xfId="1" applyFont="1" applyBorder="1" applyAlignment="1"/>
    <xf numFmtId="38" fontId="10" fillId="0" borderId="98" xfId="1" applyFont="1" applyBorder="1" applyAlignment="1"/>
    <xf numFmtId="38" fontId="10" fillId="0" borderId="1" xfId="0" applyNumberFormat="1" applyFont="1" applyBorder="1"/>
    <xf numFmtId="38" fontId="10" fillId="0" borderId="0" xfId="1" applyFont="1" applyBorder="1" applyAlignment="1"/>
    <xf numFmtId="0" fontId="10" fillId="4" borderId="100" xfId="0" applyFont="1" applyFill="1" applyBorder="1"/>
    <xf numFmtId="0" fontId="10" fillId="4" borderId="101" xfId="0" applyFont="1" applyFill="1" applyBorder="1"/>
    <xf numFmtId="38" fontId="10" fillId="0" borderId="101" xfId="1" applyFont="1" applyBorder="1" applyAlignment="1"/>
    <xf numFmtId="0" fontId="10" fillId="0" borderId="86" xfId="0" applyFont="1" applyBorder="1"/>
    <xf numFmtId="0" fontId="23" fillId="0" borderId="47" xfId="0" applyFont="1" applyBorder="1"/>
    <xf numFmtId="180" fontId="23" fillId="0" borderId="48" xfId="0" applyNumberFormat="1" applyFont="1" applyBorder="1" applyAlignment="1">
      <alignment horizontal="right"/>
    </xf>
    <xf numFmtId="180" fontId="23" fillId="0" borderId="48" xfId="0" applyNumberFormat="1" applyFont="1" applyBorder="1"/>
    <xf numFmtId="0" fontId="23" fillId="0" borderId="6" xfId="0" applyFont="1" applyBorder="1"/>
    <xf numFmtId="0" fontId="23" fillId="0" borderId="47" xfId="0" applyFont="1" applyBorder="1" applyAlignment="1">
      <alignment horizontal="center" vertical="center"/>
    </xf>
    <xf numFmtId="0" fontId="23" fillId="0" borderId="59" xfId="0" applyFont="1" applyBorder="1" applyAlignment="1">
      <alignment horizontal="right"/>
    </xf>
    <xf numFmtId="180" fontId="23" fillId="0" borderId="8" xfId="0" applyNumberFormat="1" applyFont="1" applyBorder="1" applyAlignment="1">
      <alignment horizontal="right" vertical="center"/>
    </xf>
    <xf numFmtId="180" fontId="23" fillId="0" borderId="8" xfId="0" applyNumberFormat="1" applyFont="1" applyBorder="1" applyAlignment="1">
      <alignment vertical="center"/>
    </xf>
    <xf numFmtId="0" fontId="23" fillId="0" borderId="9" xfId="0" applyFont="1" applyBorder="1" applyAlignment="1">
      <alignment vertical="center"/>
    </xf>
    <xf numFmtId="0" fontId="23" fillId="0" borderId="6" xfId="0" applyFont="1" applyBorder="1" applyAlignment="1">
      <alignment vertical="center"/>
    </xf>
    <xf numFmtId="177" fontId="23" fillId="0" borderId="0" xfId="0" applyNumberFormat="1" applyFont="1" applyAlignment="1">
      <alignment horizontal="right" vertical="center"/>
    </xf>
    <xf numFmtId="0" fontId="23" fillId="0" borderId="11" xfId="0" applyFont="1" applyBorder="1" applyAlignment="1">
      <alignment vertical="center"/>
    </xf>
    <xf numFmtId="180" fontId="23" fillId="0" borderId="60" xfId="0" applyNumberFormat="1" applyFont="1" applyBorder="1" applyAlignment="1">
      <alignment horizontal="right" vertical="center"/>
    </xf>
    <xf numFmtId="180" fontId="23" fillId="0" borderId="60" xfId="0" applyNumberFormat="1" applyFont="1" applyBorder="1" applyAlignment="1">
      <alignment vertical="center"/>
    </xf>
    <xf numFmtId="0" fontId="23" fillId="0" borderId="59" xfId="0" applyFont="1" applyBorder="1" applyAlignment="1">
      <alignment vertical="center"/>
    </xf>
    <xf numFmtId="0" fontId="10" fillId="0" borderId="3" xfId="0" applyFont="1" applyBorder="1"/>
    <xf numFmtId="0" fontId="46" fillId="0" borderId="0" xfId="0" applyFont="1" applyAlignment="1">
      <alignment horizontal="center" vertical="center"/>
    </xf>
    <xf numFmtId="0" fontId="23" fillId="0" borderId="8" xfId="0" applyFont="1" applyBorder="1" applyAlignment="1">
      <alignment horizontal="right" vertical="center"/>
    </xf>
    <xf numFmtId="0" fontId="10" fillId="0" borderId="90" xfId="0" applyFont="1" applyBorder="1"/>
    <xf numFmtId="0" fontId="10" fillId="0" borderId="91" xfId="0" applyFont="1" applyBorder="1"/>
    <xf numFmtId="0" fontId="46" fillId="0" borderId="103" xfId="0" applyFont="1" applyBorder="1" applyAlignment="1">
      <alignment horizontal="center" vertical="center"/>
    </xf>
    <xf numFmtId="0" fontId="23" fillId="0" borderId="102" xfId="0" applyFont="1" applyBorder="1" applyAlignment="1">
      <alignment vertical="center"/>
    </xf>
    <xf numFmtId="180" fontId="23" fillId="0" borderId="102" xfId="0" applyNumberFormat="1" applyFont="1" applyBorder="1" applyAlignment="1">
      <alignment horizontal="right" vertical="center"/>
    </xf>
    <xf numFmtId="180" fontId="23" fillId="0" borderId="102" xfId="0" applyNumberFormat="1" applyFont="1" applyBorder="1" applyAlignment="1">
      <alignment vertical="center"/>
    </xf>
    <xf numFmtId="177" fontId="23" fillId="0" borderId="102" xfId="0" applyNumberFormat="1" applyFont="1" applyBorder="1" applyAlignment="1">
      <alignment horizontal="right" vertical="center"/>
    </xf>
    <xf numFmtId="0" fontId="23" fillId="0" borderId="102" xfId="0" applyFont="1" applyBorder="1"/>
    <xf numFmtId="0" fontId="46" fillId="0" borderId="104" xfId="0" applyFont="1" applyBorder="1" applyAlignment="1">
      <alignment horizontal="center" vertical="center"/>
    </xf>
    <xf numFmtId="0" fontId="10" fillId="0" borderId="103" xfId="0" applyFont="1" applyBorder="1"/>
    <xf numFmtId="0" fontId="0" fillId="0" borderId="12" xfId="0" applyBorder="1" applyAlignment="1">
      <alignment horizontal="center" shrinkToFit="1"/>
    </xf>
    <xf numFmtId="0" fontId="9" fillId="0" borderId="12" xfId="0" applyFont="1" applyBorder="1" applyAlignment="1">
      <alignment horizontal="center" shrinkToFit="1"/>
    </xf>
    <xf numFmtId="0" fontId="0" fillId="0" borderId="0" xfId="0" applyAlignment="1">
      <alignment horizontal="center"/>
    </xf>
    <xf numFmtId="0" fontId="0" fillId="0" borderId="0" xfId="0" applyAlignment="1">
      <alignment horizontal="left" vertical="top" wrapText="1"/>
    </xf>
    <xf numFmtId="179" fontId="8" fillId="0" borderId="0" xfId="0" applyNumberFormat="1" applyFont="1" applyAlignment="1">
      <alignment horizontal="right" vertical="top"/>
    </xf>
    <xf numFmtId="0" fontId="0" fillId="2" borderId="11" xfId="0" applyFill="1" applyBorder="1" applyAlignment="1">
      <alignment horizontal="left" vertical="center"/>
    </xf>
    <xf numFmtId="0" fontId="0" fillId="2" borderId="60" xfId="0" applyFill="1" applyBorder="1" applyAlignment="1">
      <alignment horizontal="left" vertical="center"/>
    </xf>
    <xf numFmtId="0" fontId="0" fillId="0" borderId="11" xfId="0" applyBorder="1" applyAlignment="1">
      <alignment horizontal="left" vertical="center" shrinkToFit="1"/>
    </xf>
    <xf numFmtId="0" fontId="0" fillId="0" borderId="60" xfId="0" applyBorder="1" applyAlignment="1">
      <alignment horizontal="left" vertical="center" shrinkToFit="1"/>
    </xf>
    <xf numFmtId="14" fontId="0" fillId="0" borderId="12" xfId="0" applyNumberFormat="1" applyBorder="1" applyAlignment="1">
      <alignment horizontal="center"/>
    </xf>
    <xf numFmtId="0" fontId="18" fillId="0" borderId="0" xfId="0" applyFont="1" applyAlignment="1">
      <alignment horizontal="center" vertical="top"/>
    </xf>
    <xf numFmtId="0" fontId="10" fillId="0" borderId="12" xfId="0" applyFont="1" applyBorder="1" applyAlignment="1">
      <alignment horizontal="center" vertical="center"/>
    </xf>
    <xf numFmtId="49" fontId="0" fillId="0" borderId="12" xfId="0" applyNumberFormat="1" applyBorder="1" applyAlignment="1">
      <alignment horizontal="center"/>
    </xf>
    <xf numFmtId="0" fontId="9" fillId="0" borderId="87" xfId="0" applyFont="1" applyBorder="1" applyAlignment="1">
      <alignment horizontal="center" shrinkToFit="1"/>
    </xf>
    <xf numFmtId="0" fontId="10" fillId="0" borderId="85" xfId="0" applyFont="1" applyBorder="1" applyAlignment="1">
      <alignment horizontal="center" shrinkToFit="1"/>
    </xf>
    <xf numFmtId="0" fontId="0" fillId="0" borderId="0" xfId="0" applyAlignment="1">
      <alignment horizontal="right"/>
    </xf>
    <xf numFmtId="0" fontId="0" fillId="0" borderId="87" xfId="0" applyBorder="1" applyAlignment="1">
      <alignment horizontal="right" shrinkToFit="1"/>
    </xf>
    <xf numFmtId="0" fontId="8" fillId="0" borderId="12" xfId="0" applyFont="1" applyBorder="1" applyAlignment="1">
      <alignment horizontal="center" vertical="center" shrinkToFit="1"/>
    </xf>
    <xf numFmtId="49" fontId="9" fillId="0" borderId="12" xfId="0" quotePrefix="1" applyNumberFormat="1" applyFont="1" applyBorder="1" applyAlignment="1">
      <alignment horizontal="center"/>
    </xf>
    <xf numFmtId="0" fontId="8" fillId="0" borderId="1" xfId="0" applyFont="1" applyBorder="1" applyAlignment="1">
      <alignment horizontal="left" vertical="center" shrinkToFit="1"/>
    </xf>
    <xf numFmtId="0" fontId="14" fillId="0" borderId="1" xfId="0" applyFont="1" applyBorder="1" applyAlignment="1">
      <alignment horizontal="left" vertical="center" shrinkToFit="1"/>
    </xf>
    <xf numFmtId="0" fontId="10" fillId="0" borderId="0" xfId="0" applyFont="1" applyAlignment="1">
      <alignment horizontal="center" shrinkToFit="1"/>
    </xf>
    <xf numFmtId="0" fontId="0" fillId="0" borderId="74" xfId="0" applyBorder="1" applyAlignment="1">
      <alignment horizontal="left" vertical="center" shrinkToFit="1"/>
    </xf>
    <xf numFmtId="0" fontId="0" fillId="0" borderId="67" xfId="0" applyBorder="1" applyAlignment="1">
      <alignment horizontal="left" vertical="center" shrinkToFit="1"/>
    </xf>
    <xf numFmtId="0" fontId="0" fillId="0" borderId="20" xfId="0" applyBorder="1" applyAlignment="1">
      <alignment horizontal="left" vertical="center" shrinkToFit="1"/>
    </xf>
    <xf numFmtId="0" fontId="0" fillId="0" borderId="7"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0" fillId="0" borderId="60"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2" xfId="0" applyBorder="1" applyAlignment="1">
      <alignment horizontal="left" vertical="center"/>
    </xf>
    <xf numFmtId="0" fontId="0" fillId="0" borderId="3" xfId="0" applyBorder="1" applyAlignment="1">
      <alignment horizontal="left" vertical="center"/>
    </xf>
    <xf numFmtId="0" fontId="0" fillId="0" borderId="70" xfId="0" applyBorder="1" applyAlignment="1">
      <alignment horizontal="left" vertical="center"/>
    </xf>
    <xf numFmtId="0" fontId="26" fillId="2" borderId="0" xfId="0" applyFont="1" applyFill="1" applyAlignment="1">
      <alignment horizontal="center" vertical="center" shrinkToFit="1"/>
    </xf>
    <xf numFmtId="0" fontId="26" fillId="2" borderId="25" xfId="0" applyFont="1" applyFill="1" applyBorder="1" applyAlignment="1">
      <alignment horizontal="center" vertical="center" shrinkToFit="1"/>
    </xf>
    <xf numFmtId="0" fontId="42" fillId="0" borderId="11" xfId="0" applyFont="1" applyBorder="1" applyAlignment="1">
      <alignment horizontal="left" vertical="center" shrinkToFit="1"/>
    </xf>
    <xf numFmtId="0" fontId="42" fillId="0" borderId="60" xfId="0" applyFont="1" applyBorder="1" applyAlignment="1">
      <alignment horizontal="left" vertical="center" shrinkToFit="1"/>
    </xf>
    <xf numFmtId="0" fontId="42" fillId="0" borderId="74" xfId="0" applyFont="1" applyBorder="1" applyAlignment="1">
      <alignment horizontal="left" vertical="center" shrinkToFit="1"/>
    </xf>
    <xf numFmtId="0" fontId="10" fillId="0" borderId="0" xfId="0" applyFont="1" applyAlignment="1">
      <alignment horizontal="center"/>
    </xf>
    <xf numFmtId="0" fontId="42" fillId="0" borderId="11" xfId="0" applyFont="1" applyBorder="1" applyAlignment="1">
      <alignment horizontal="left" vertical="center"/>
    </xf>
    <xf numFmtId="0" fontId="42" fillId="0" borderId="60" xfId="0" applyFont="1" applyBorder="1" applyAlignment="1">
      <alignment horizontal="left" vertical="center"/>
    </xf>
    <xf numFmtId="0" fontId="42" fillId="0" borderId="74" xfId="0" applyFont="1" applyBorder="1" applyAlignment="1">
      <alignment horizontal="left" vertical="center"/>
    </xf>
    <xf numFmtId="0" fontId="23" fillId="0" borderId="11" xfId="0" applyFont="1" applyBorder="1" applyAlignment="1">
      <alignment horizontal="center"/>
    </xf>
    <xf numFmtId="0" fontId="23" fillId="0" borderId="60" xfId="0" applyFont="1" applyBorder="1" applyAlignment="1">
      <alignment horizontal="center"/>
    </xf>
    <xf numFmtId="0" fontId="34" fillId="2" borderId="15" xfId="0" applyFont="1" applyFill="1" applyBorder="1" applyAlignment="1">
      <alignment horizontal="center" vertical="center" shrinkToFit="1"/>
    </xf>
    <xf numFmtId="0" fontId="39" fillId="0" borderId="0" xfId="0" applyFont="1" applyAlignment="1">
      <alignment horizontal="left" vertical="top" wrapText="1"/>
    </xf>
    <xf numFmtId="0" fontId="39" fillId="0" borderId="66" xfId="0" applyFont="1" applyBorder="1" applyAlignment="1">
      <alignment horizontal="left" vertical="top" wrapText="1"/>
    </xf>
    <xf numFmtId="0" fontId="9" fillId="0" borderId="11" xfId="0" applyFont="1" applyBorder="1" applyAlignment="1">
      <alignment horizontal="left" vertical="center" shrinkToFit="1"/>
    </xf>
    <xf numFmtId="0" fontId="9" fillId="0" borderId="60" xfId="0" applyFont="1" applyBorder="1" applyAlignment="1">
      <alignment horizontal="left" vertical="center" shrinkToFit="1"/>
    </xf>
    <xf numFmtId="0" fontId="9" fillId="0" borderId="67" xfId="0" applyFont="1" applyBorder="1" applyAlignment="1">
      <alignment horizontal="left" vertical="center" shrinkToFit="1"/>
    </xf>
    <xf numFmtId="0" fontId="9" fillId="0" borderId="20" xfId="0" applyFont="1" applyBorder="1" applyAlignment="1">
      <alignment horizontal="left" vertical="center" shrinkToFit="1"/>
    </xf>
    <xf numFmtId="0" fontId="9" fillId="0" borderId="0" xfId="0" applyFont="1" applyAlignment="1">
      <alignment horizontal="center"/>
    </xf>
    <xf numFmtId="0" fontId="9" fillId="0" borderId="5" xfId="0" applyFont="1" applyBorder="1" applyAlignment="1">
      <alignment horizontal="left" vertical="center"/>
    </xf>
    <xf numFmtId="0" fontId="9" fillId="0" borderId="0" xfId="0" applyFont="1" applyAlignment="1">
      <alignment horizontal="left" vertical="center"/>
    </xf>
    <xf numFmtId="0" fontId="26" fillId="0" borderId="1" xfId="0" applyFont="1" applyBorder="1" applyAlignment="1">
      <alignment horizontal="left" vertical="center" shrinkToFit="1"/>
    </xf>
    <xf numFmtId="0" fontId="34" fillId="0" borderId="1" xfId="0" applyFont="1" applyBorder="1" applyAlignment="1">
      <alignment horizontal="left" vertical="center" shrinkToFit="1"/>
    </xf>
    <xf numFmtId="0" fontId="9" fillId="0" borderId="74"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0" xfId="0" applyFont="1" applyBorder="1" applyAlignment="1">
      <alignment horizontal="left" vertical="center"/>
    </xf>
    <xf numFmtId="0" fontId="9" fillId="0" borderId="11" xfId="0" applyFont="1" applyBorder="1" applyAlignment="1">
      <alignment horizontal="left" vertical="center"/>
    </xf>
    <xf numFmtId="0" fontId="9" fillId="0" borderId="60" xfId="0" applyFont="1" applyBorder="1" applyAlignment="1">
      <alignment horizontal="left" vertical="center"/>
    </xf>
    <xf numFmtId="0" fontId="10" fillId="0" borderId="11" xfId="0" applyFont="1" applyBorder="1" applyAlignment="1">
      <alignment horizontal="left" vertical="center" shrinkToFit="1"/>
    </xf>
    <xf numFmtId="0" fontId="10" fillId="0" borderId="60" xfId="0" applyFont="1" applyBorder="1" applyAlignment="1">
      <alignment horizontal="left" vertical="center" shrinkToFit="1"/>
    </xf>
    <xf numFmtId="0" fontId="10" fillId="0" borderId="74" xfId="0" applyFont="1" applyBorder="1" applyAlignment="1">
      <alignment horizontal="left" vertical="center" shrinkToFit="1"/>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0" xfId="0" applyFont="1" applyAlignment="1">
      <alignment horizontal="right"/>
    </xf>
    <xf numFmtId="0" fontId="26" fillId="0" borderId="12" xfId="0" applyFont="1" applyBorder="1" applyAlignment="1">
      <alignment horizontal="center" vertical="center" shrinkToFit="1"/>
    </xf>
    <xf numFmtId="49" fontId="9" fillId="0" borderId="12" xfId="0" applyNumberFormat="1" applyFont="1" applyBorder="1" applyAlignment="1">
      <alignment horizontal="center"/>
    </xf>
    <xf numFmtId="0" fontId="9" fillId="0" borderId="87" xfId="0" applyFont="1" applyBorder="1" applyAlignment="1">
      <alignment horizontal="right" shrinkToFit="1"/>
    </xf>
    <xf numFmtId="14" fontId="9" fillId="0" borderId="12" xfId="0" applyNumberFormat="1" applyFont="1" applyBorder="1" applyAlignment="1">
      <alignment horizontal="center"/>
    </xf>
    <xf numFmtId="0" fontId="25" fillId="0" borderId="0" xfId="0" applyFont="1" applyAlignment="1">
      <alignment horizontal="center" vertical="top"/>
    </xf>
    <xf numFmtId="179" fontId="26" fillId="0" borderId="0" xfId="0" applyNumberFormat="1" applyFont="1" applyAlignment="1">
      <alignment horizontal="right" vertical="top"/>
    </xf>
    <xf numFmtId="179" fontId="26" fillId="0" borderId="90" xfId="0" applyNumberFormat="1" applyFont="1" applyBorder="1" applyAlignment="1">
      <alignment horizontal="right" vertical="top"/>
    </xf>
    <xf numFmtId="0" fontId="9" fillId="0" borderId="0" xfId="0" applyFont="1" applyAlignment="1">
      <alignment horizontal="left" vertical="top" wrapText="1"/>
    </xf>
    <xf numFmtId="0" fontId="10" fillId="0" borderId="11" xfId="0" applyFont="1" applyBorder="1" applyAlignment="1">
      <alignment horizontal="left" vertical="center"/>
    </xf>
    <xf numFmtId="0" fontId="10" fillId="0" borderId="60" xfId="0" applyFont="1" applyBorder="1" applyAlignment="1">
      <alignment horizontal="left" vertical="center"/>
    </xf>
    <xf numFmtId="0" fontId="10" fillId="0" borderId="74" xfId="0" applyFont="1" applyBorder="1" applyAlignment="1">
      <alignment horizontal="left" vertical="center"/>
    </xf>
    <xf numFmtId="0" fontId="39" fillId="0" borderId="105" xfId="0" applyFont="1" applyBorder="1" applyAlignment="1">
      <alignment horizontal="left" vertical="top"/>
    </xf>
    <xf numFmtId="0" fontId="39" fillId="0" borderId="106" xfId="0" applyFont="1" applyBorder="1" applyAlignment="1">
      <alignment horizontal="left" vertical="top"/>
    </xf>
    <xf numFmtId="0" fontId="39" fillId="0" borderId="107" xfId="0" applyFont="1" applyBorder="1" applyAlignment="1">
      <alignment horizontal="left" vertical="top" wrapText="1"/>
    </xf>
    <xf numFmtId="0" fontId="21" fillId="0" borderId="5" xfId="0" applyFont="1" applyBorder="1" applyAlignment="1">
      <alignment horizontal="left" vertical="top" wrapText="1"/>
    </xf>
    <xf numFmtId="0" fontId="21" fillId="0" borderId="0" xfId="0" applyFont="1" applyAlignment="1">
      <alignment horizontal="left" vertical="top" wrapText="1"/>
    </xf>
    <xf numFmtId="0" fontId="9" fillId="0" borderId="0" xfId="0" applyFont="1" applyAlignment="1">
      <alignment horizontal="right" shrinkToFit="1"/>
    </xf>
    <xf numFmtId="0" fontId="23" fillId="0" borderId="52" xfId="0" applyFont="1" applyBorder="1" applyAlignment="1">
      <alignment horizontal="center"/>
    </xf>
    <xf numFmtId="0" fontId="23" fillId="0" borderId="53" xfId="0" applyFont="1" applyBorder="1" applyAlignment="1">
      <alignment horizontal="center"/>
    </xf>
    <xf numFmtId="0" fontId="23" fillId="0" borderId="54" xfId="0" applyFont="1" applyBorder="1" applyAlignment="1">
      <alignment horizontal="center"/>
    </xf>
    <xf numFmtId="0" fontId="21" fillId="0" borderId="0" xfId="0" applyFont="1" applyAlignment="1">
      <alignment horizontal="left" vertical="top"/>
    </xf>
    <xf numFmtId="0" fontId="21" fillId="0" borderId="5" xfId="0" applyFont="1" applyBorder="1" applyAlignment="1">
      <alignment horizontal="left" vertical="top"/>
    </xf>
    <xf numFmtId="0" fontId="16" fillId="0" borderId="52" xfId="0" applyFont="1" applyBorder="1" applyAlignment="1">
      <alignment horizontal="center"/>
    </xf>
    <xf numFmtId="0" fontId="16" fillId="0" borderId="53" xfId="0" applyFont="1" applyBorder="1" applyAlignment="1">
      <alignment horizontal="center"/>
    </xf>
    <xf numFmtId="0" fontId="16" fillId="0" borderId="54" xfId="0" applyFont="1" applyBorder="1" applyAlignment="1">
      <alignment horizontal="center"/>
    </xf>
    <xf numFmtId="0" fontId="0" fillId="0" borderId="46" xfId="0" applyBorder="1" applyAlignment="1">
      <alignment horizontal="right" shrinkToFit="1"/>
    </xf>
    <xf numFmtId="0" fontId="20" fillId="0" borderId="5" xfId="0" applyFont="1" applyBorder="1" applyAlignment="1">
      <alignment horizontal="left" vertical="top" wrapText="1"/>
    </xf>
    <xf numFmtId="0" fontId="20" fillId="0" borderId="0" xfId="0" applyFont="1" applyAlignment="1">
      <alignment horizontal="left" vertical="top" wrapText="1"/>
    </xf>
  </cellXfs>
  <cellStyles count="2">
    <cellStyle name="桁区切り" xfId="1" builtinId="6"/>
    <cellStyle name="標準" xfId="0" builtinId="0"/>
  </cellStyles>
  <dxfs count="159">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bottom style="hair">
          <color auto="1"/>
        </bottom>
        <vertical/>
        <horizontal/>
      </border>
    </dxf>
    <dxf>
      <font>
        <color theme="0"/>
      </font>
      <border>
        <bottom style="hair">
          <color auto="1"/>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u val="none"/>
      </font>
      <border>
        <bottom style="thin">
          <color auto="1"/>
        </bottom>
      </border>
    </dxf>
    <dxf>
      <border>
        <left style="hair">
          <color auto="1"/>
        </left>
        <vertical/>
        <horizontal/>
      </border>
    </dxf>
    <dxf>
      <border>
        <right style="dotted">
          <color auto="1"/>
        </right>
        <vertical/>
        <horizontal/>
      </border>
    </dxf>
    <dxf>
      <border>
        <bottom/>
        <vertical/>
        <horizontal/>
      </border>
    </dxf>
    <dxf>
      <border>
        <bottom/>
        <vertical/>
        <horizontal/>
      </border>
    </dxf>
    <dxf>
      <border>
        <bottom/>
        <vertical/>
        <horizontal/>
      </border>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tint="-4.9989318521683403E-2"/>
      </font>
      <fill>
        <patternFill>
          <bgColor theme="0" tint="-4.9989318521683403E-2"/>
        </patternFill>
      </fill>
    </dxf>
    <dxf>
      <font>
        <color theme="0"/>
      </font>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left/>
        <right/>
        <top style="dotted">
          <color auto="1"/>
        </top>
        <bottom/>
        <vertical/>
        <horizontal/>
      </border>
    </dxf>
    <dxf>
      <font>
        <color theme="0" tint="-4.9989318521683403E-2"/>
      </font>
      <fill>
        <patternFill>
          <bgColor theme="0" tint="-4.9989318521683403E-2"/>
        </patternFill>
      </fill>
      <border>
        <left/>
        <right/>
        <top/>
        <bottom/>
      </border>
    </dxf>
    <dxf>
      <border>
        <bottom style="dotted">
          <color auto="1"/>
        </bottom>
        <vertical/>
        <horizontal/>
      </border>
    </dxf>
    <dxf>
      <border>
        <left style="dotted">
          <color auto="1"/>
        </left>
        <vertical/>
        <horizontal/>
      </border>
    </dxf>
    <dxf>
      <font>
        <b/>
        <i val="0"/>
        <color auto="1"/>
      </font>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bottom style="hair">
          <color auto="1"/>
        </bottom>
        <vertical/>
        <horizontal/>
      </border>
    </dxf>
    <dxf>
      <font>
        <color theme="0"/>
      </font>
      <border>
        <bottom style="hair">
          <color auto="1"/>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left style="hair">
          <color auto="1"/>
        </left>
        <vertical/>
        <horizontal/>
      </border>
    </dxf>
    <dxf>
      <font>
        <color theme="0" tint="-4.9989318521683403E-2"/>
      </font>
      <fill>
        <patternFill>
          <bgColor theme="0" tint="-4.9989318521683403E-2"/>
        </patternFill>
      </fill>
    </dxf>
    <dxf>
      <border>
        <right style="dotted">
          <color auto="1"/>
        </right>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border>
        <left/>
        <right/>
        <top/>
        <bottom/>
        <vertical/>
        <horizontal/>
      </border>
    </dxf>
    <dxf>
      <border>
        <bottom/>
        <vertical/>
        <horizontal/>
      </border>
    </dxf>
    <dxf>
      <font>
        <color theme="0"/>
      </font>
      <border>
        <left/>
        <right/>
        <top/>
        <bottom/>
        <vertical/>
        <horizontal/>
      </border>
    </dxf>
    <dxf>
      <font>
        <color theme="0"/>
      </font>
      <border>
        <left/>
        <right/>
        <top/>
        <bottom/>
        <vertical/>
        <horizontal/>
      </border>
    </dxf>
    <dxf>
      <font>
        <color theme="0" tint="-4.9989318521683403E-2"/>
      </font>
      <fill>
        <patternFill>
          <bgColor theme="0" tint="-4.9989318521683403E-2"/>
        </patternFill>
      </fill>
    </dxf>
    <dxf>
      <font>
        <color theme="0"/>
      </font>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left/>
        <right/>
        <top style="dotted">
          <color auto="1"/>
        </top>
        <bottom/>
        <vertical/>
        <horizontal/>
      </border>
    </dxf>
    <dxf>
      <font>
        <color theme="0" tint="-4.9989318521683403E-2"/>
      </font>
      <fill>
        <patternFill>
          <bgColor theme="0" tint="-4.9989318521683403E-2"/>
        </patternFill>
      </fill>
      <border>
        <left/>
        <right/>
        <top/>
        <bottom/>
      </border>
    </dxf>
    <dxf>
      <border>
        <bottom style="dotted">
          <color auto="1"/>
        </bottom>
        <vertical/>
        <horizontal/>
      </border>
    </dxf>
    <dxf>
      <border>
        <left style="dotted">
          <color auto="1"/>
        </left>
        <vertical/>
        <horizontal/>
      </border>
    </dxf>
    <dxf>
      <font>
        <b/>
        <i val="0"/>
        <color auto="1"/>
      </font>
    </dxf>
  </dxfs>
  <tableStyles count="0" defaultTableStyle="TableStyleMedium2" defaultPivotStyle="PivotStyleMedium9"/>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295275</xdr:colOff>
      <xdr:row>5</xdr:row>
      <xdr:rowOff>53973</xdr:rowOff>
    </xdr:from>
    <xdr:to>
      <xdr:col>24</xdr:col>
      <xdr:colOff>171450</xdr:colOff>
      <xdr:row>28</xdr:row>
      <xdr:rowOff>136526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6689725" y="746123"/>
          <a:ext cx="4143375" cy="3067053"/>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海外居住者のための収入等申告書　入力にあたって</a:t>
          </a:r>
          <a:endParaRPr kumimoji="1" lang="en-US" altLang="ja-JP" sz="1200">
            <a:solidFill>
              <a:sysClr val="windowText" lastClr="000000"/>
            </a:solidFill>
          </a:endParaRPr>
        </a:p>
        <a:p>
          <a:pPr algn="l"/>
          <a:r>
            <a:rPr kumimoji="1" lang="ja-JP" altLang="en-US" sz="1100" u="none">
              <a:solidFill>
                <a:sysClr val="windowText" lastClr="000000"/>
              </a:solidFill>
            </a:rPr>
            <a:t>　</a:t>
          </a:r>
          <a:r>
            <a:rPr kumimoji="1" lang="ja-JP" altLang="en-US" sz="1100" u="sng">
              <a:solidFill>
                <a:sysClr val="windowText" lastClr="000000"/>
              </a:solidFill>
            </a:rPr>
            <a:t>このファイルを開いた際に、ウインドウ上部に下のような黄色いメッセージが表示されることがあります。その場合、「編集を有効にする</a:t>
          </a:r>
          <a:r>
            <a:rPr kumimoji="1" lang="en-US" altLang="ja-JP" sz="1100" u="sng">
              <a:solidFill>
                <a:sysClr val="windowText" lastClr="000000"/>
              </a:solidFill>
            </a:rPr>
            <a:t>(E)</a:t>
          </a:r>
          <a:r>
            <a:rPr kumimoji="1" lang="ja-JP" altLang="en-US" sz="1100" u="sng">
              <a:solidFill>
                <a:sysClr val="windowText" lastClr="000000"/>
              </a:solidFill>
            </a:rPr>
            <a:t>」を押さないと入力を開始することができません。</a:t>
          </a:r>
          <a:endParaRPr kumimoji="1" lang="en-US" altLang="ja-JP" sz="1100" u="sng">
            <a:solidFill>
              <a:sysClr val="windowText" lastClr="000000"/>
            </a:solidFill>
          </a:endParaRPr>
        </a:p>
        <a:p>
          <a:pPr algn="l"/>
          <a:r>
            <a:rPr kumimoji="1" lang="ja-JP" altLang="en-US" sz="1100">
              <a:solidFill>
                <a:sysClr val="windowText" lastClr="000000"/>
              </a:solidFill>
            </a:rPr>
            <a:t>　このファイルを（独）日本学生支援機構のホームページからダウンロードしたことをご確認のうえ、</a:t>
          </a:r>
          <a:r>
            <a:rPr kumimoji="1" lang="ja-JP" altLang="ja-JP" sz="1100">
              <a:solidFill>
                <a:sysClr val="windowText" lastClr="000000"/>
              </a:solidFill>
              <a:effectLst/>
              <a:latin typeface="+mn-lt"/>
              <a:ea typeface="+mn-ea"/>
              <a:cs typeface="+mn-cs"/>
            </a:rPr>
            <a:t>「編集を有効にする</a:t>
          </a:r>
          <a:r>
            <a:rPr kumimoji="1" lang="en-US" altLang="ja-JP" sz="1100">
              <a:solidFill>
                <a:sysClr val="windowText" lastClr="000000"/>
              </a:solidFill>
              <a:effectLst/>
              <a:latin typeface="+mn-lt"/>
              <a:ea typeface="+mn-ea"/>
              <a:cs typeface="+mn-cs"/>
            </a:rPr>
            <a:t>(E)</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を押して開始してください。</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（メッセージは、</a:t>
          </a:r>
          <a:r>
            <a:rPr kumimoji="1" lang="en-US" altLang="ja-JP" sz="1100">
              <a:solidFill>
                <a:sysClr val="windowText" lastClr="000000"/>
              </a:solidFill>
            </a:rPr>
            <a:t>Microsoft Excel</a:t>
          </a:r>
          <a:r>
            <a:rPr kumimoji="1" lang="ja-JP" altLang="en-US" sz="1100">
              <a:solidFill>
                <a:sysClr val="windowText" lastClr="000000"/>
              </a:solidFill>
            </a:rPr>
            <a:t>のバージョン等によって異なります。）</a:t>
          </a:r>
          <a:endParaRPr kumimoji="1" lang="en-US" altLang="ja-JP" sz="1100">
            <a:solidFill>
              <a:sysClr val="windowText" lastClr="000000"/>
            </a:solidFill>
          </a:endParaRPr>
        </a:p>
        <a:p>
          <a:pPr algn="l"/>
          <a:r>
            <a:rPr kumimoji="1" lang="ja-JP" altLang="en-US" sz="1100">
              <a:solidFill>
                <a:sysClr val="windowText" lastClr="000000"/>
              </a:solidFill>
            </a:rPr>
            <a:t>　なお、別のシート（ウインドウ下部オレンジ色のタブ）に記入例や注意点をまとめていますので、参考にしてください。</a:t>
          </a:r>
          <a:endParaRPr kumimoji="1" lang="en-US" altLang="ja-JP" sz="1100">
            <a:solidFill>
              <a:sysClr val="windowText" lastClr="000000"/>
            </a:solidFill>
          </a:endParaRPr>
        </a:p>
      </xdr:txBody>
    </xdr:sp>
    <xdr:clientData/>
  </xdr:twoCellAnchor>
  <xdr:twoCellAnchor editAs="oneCell">
    <xdr:from>
      <xdr:col>17</xdr:col>
      <xdr:colOff>333375</xdr:colOff>
      <xdr:row>18</xdr:row>
      <xdr:rowOff>150255</xdr:rowOff>
    </xdr:from>
    <xdr:to>
      <xdr:col>24</xdr:col>
      <xdr:colOff>96231</xdr:colOff>
      <xdr:row>20</xdr:row>
      <xdr:rowOff>15533</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727825" y="2264805"/>
          <a:ext cx="4018626" cy="195478"/>
        </a:xfrm>
        <a:prstGeom prst="rect">
          <a:avLst/>
        </a:prstGeom>
      </xdr:spPr>
    </xdr:pic>
    <xdr:clientData/>
  </xdr:twoCellAnchor>
  <xdr:twoCellAnchor>
    <xdr:from>
      <xdr:col>22</xdr:col>
      <xdr:colOff>342900</xdr:colOff>
      <xdr:row>18</xdr:row>
      <xdr:rowOff>79375</xdr:rowOff>
    </xdr:from>
    <xdr:to>
      <xdr:col>23</xdr:col>
      <xdr:colOff>552450</xdr:colOff>
      <xdr:row>20</xdr:row>
      <xdr:rowOff>3175</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9785350" y="2193925"/>
          <a:ext cx="819150" cy="2540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17</xdr:col>
      <xdr:colOff>330200</xdr:colOff>
      <xdr:row>21</xdr:row>
      <xdr:rowOff>15567</xdr:rowOff>
    </xdr:from>
    <xdr:to>
      <xdr:col>24</xdr:col>
      <xdr:colOff>133350</xdr:colOff>
      <xdr:row>21</xdr:row>
      <xdr:rowOff>136523</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24650" y="2504767"/>
          <a:ext cx="4070350" cy="13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82549</xdr:colOff>
      <xdr:row>20</xdr:row>
      <xdr:rowOff>25400</xdr:rowOff>
    </xdr:from>
    <xdr:to>
      <xdr:col>24</xdr:col>
      <xdr:colOff>161924</xdr:colOff>
      <xdr:row>21</xdr:row>
      <xdr:rowOff>165100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10134599" y="2470150"/>
          <a:ext cx="688975" cy="18415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13</xdr:col>
      <xdr:colOff>142875</xdr:colOff>
      <xdr:row>0</xdr:row>
      <xdr:rowOff>0</xdr:rowOff>
    </xdr:from>
    <xdr:to>
      <xdr:col>14</xdr:col>
      <xdr:colOff>58862</xdr:colOff>
      <xdr:row>3</xdr:row>
      <xdr:rowOff>22667</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38875" y="0"/>
          <a:ext cx="447482" cy="4474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63497</xdr:colOff>
      <xdr:row>56</xdr:row>
      <xdr:rowOff>116418</xdr:rowOff>
    </xdr:from>
    <xdr:to>
      <xdr:col>4</xdr:col>
      <xdr:colOff>253997</xdr:colOff>
      <xdr:row>57</xdr:row>
      <xdr:rowOff>190502</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4265080" y="8032751"/>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twoCellAnchor>
    <xdr:from>
      <xdr:col>4</xdr:col>
      <xdr:colOff>67735</xdr:colOff>
      <xdr:row>58</xdr:row>
      <xdr:rowOff>35980</xdr:rowOff>
    </xdr:from>
    <xdr:to>
      <xdr:col>4</xdr:col>
      <xdr:colOff>258235</xdr:colOff>
      <xdr:row>58</xdr:row>
      <xdr:rowOff>268814</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4269318" y="8333313"/>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97154</xdr:colOff>
      <xdr:row>22</xdr:row>
      <xdr:rowOff>137158</xdr:rowOff>
    </xdr:from>
    <xdr:to>
      <xdr:col>12</xdr:col>
      <xdr:colOff>99059</xdr:colOff>
      <xdr:row>51</xdr:row>
      <xdr:rowOff>114300</xdr:rowOff>
    </xdr:to>
    <xdr:sp macro="" textlink="">
      <xdr:nvSpPr>
        <xdr:cNvPr id="2" name="テキスト ボックス 1">
          <a:extLst>
            <a:ext uri="{FF2B5EF4-FFF2-40B4-BE49-F238E27FC236}">
              <a16:creationId xmlns:a16="http://schemas.microsoft.com/office/drawing/2014/main" id="{ECDFC0BE-A2B3-4861-8790-62072C9C8928}"/>
            </a:ext>
          </a:extLst>
        </xdr:cNvPr>
        <xdr:cNvSpPr txBox="1"/>
      </xdr:nvSpPr>
      <xdr:spPr>
        <a:xfrm>
          <a:off x="3190874" y="3878578"/>
          <a:ext cx="8566785" cy="48691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（更新メモ）</a:t>
          </a:r>
        </a:p>
        <a:p>
          <a:r>
            <a:rPr kumimoji="1" lang="ja-JP" altLang="en-US" sz="1050">
              <a:solidFill>
                <a:srgbClr val="FF0000"/>
              </a:solidFill>
            </a:rPr>
            <a:t>特定親族関係の計算を行うシートを新規追加</a:t>
          </a:r>
        </a:p>
        <a:p>
          <a:r>
            <a:rPr kumimoji="1" lang="en-US" altLang="ja-JP" sz="1050">
              <a:solidFill>
                <a:srgbClr val="FF0000"/>
              </a:solidFill>
            </a:rPr>
            <a:t>【</a:t>
          </a:r>
          <a:r>
            <a:rPr kumimoji="1" lang="ja-JP" altLang="en-US" sz="1050">
              <a:solidFill>
                <a:srgbClr val="FF0000"/>
              </a:solidFill>
            </a:rPr>
            <a:t>生計維持者欄</a:t>
          </a:r>
          <a:r>
            <a:rPr kumimoji="1" lang="en-US" altLang="ja-JP" sz="1050">
              <a:solidFill>
                <a:srgbClr val="FF0000"/>
              </a:solidFill>
            </a:rPr>
            <a:t>】</a:t>
          </a:r>
          <a:endParaRPr kumimoji="1" lang="ja-JP" altLang="en-US" sz="1050">
            <a:solidFill>
              <a:srgbClr val="FF0000"/>
            </a:solidFill>
          </a:endParaRPr>
        </a:p>
        <a:p>
          <a:r>
            <a:rPr kumimoji="1" lang="ja-JP" altLang="en-US" sz="1050">
              <a:solidFill>
                <a:srgbClr val="FF0000"/>
              </a:solidFill>
            </a:rPr>
            <a:t>・存在フラグ</a:t>
          </a:r>
        </a:p>
        <a:p>
          <a:r>
            <a:rPr kumimoji="1" lang="ja-JP" altLang="en-US" sz="1050">
              <a:solidFill>
                <a:srgbClr val="FF0000"/>
              </a:solidFill>
            </a:rPr>
            <a:t>　下で計算している特定親族をカウントして良いかを管理。税制改正前の申込だったり、入力欄が消えている場合</a:t>
          </a:r>
          <a:r>
            <a:rPr kumimoji="1" lang="en-US" altLang="ja-JP" sz="1050">
              <a:solidFill>
                <a:srgbClr val="FF0000"/>
              </a:solidFill>
            </a:rPr>
            <a:t>(</a:t>
          </a:r>
          <a:r>
            <a:rPr kumimoji="1" lang="ja-JP" altLang="en-US" sz="1050">
              <a:solidFill>
                <a:srgbClr val="FF0000"/>
              </a:solidFill>
            </a:rPr>
            <a:t>特定親族</a:t>
          </a:r>
          <a:r>
            <a:rPr kumimoji="1" lang="en-US" altLang="ja-JP" sz="1050">
              <a:solidFill>
                <a:srgbClr val="FF0000"/>
              </a:solidFill>
            </a:rPr>
            <a:t>3</a:t>
          </a:r>
          <a:r>
            <a:rPr kumimoji="1" lang="ja-JP" altLang="en-US" sz="1050">
              <a:solidFill>
                <a:srgbClr val="FF0000"/>
              </a:solidFill>
            </a:rPr>
            <a:t>人と入力しているときの</a:t>
          </a:r>
          <a:r>
            <a:rPr kumimoji="1" lang="en-US" altLang="ja-JP" sz="1050">
              <a:solidFill>
                <a:srgbClr val="FF0000"/>
              </a:solidFill>
            </a:rPr>
            <a:t>4</a:t>
          </a:r>
          <a:r>
            <a:rPr kumimoji="1" lang="ja-JP" altLang="en-US" sz="1050">
              <a:solidFill>
                <a:srgbClr val="FF0000"/>
              </a:solidFill>
            </a:rPr>
            <a:t>人目以降など</a:t>
          </a:r>
          <a:r>
            <a:rPr kumimoji="1" lang="en-US" altLang="ja-JP" sz="1050">
              <a:solidFill>
                <a:srgbClr val="FF0000"/>
              </a:solidFill>
            </a:rPr>
            <a:t>)</a:t>
          </a:r>
          <a:r>
            <a:rPr kumimoji="1" lang="ja-JP" altLang="en-US" sz="1050">
              <a:solidFill>
                <a:srgbClr val="FF0000"/>
              </a:solidFill>
            </a:rPr>
            <a:t>は</a:t>
          </a:r>
          <a:r>
            <a:rPr kumimoji="1" lang="en-US" altLang="ja-JP" sz="1050">
              <a:solidFill>
                <a:srgbClr val="FF0000"/>
              </a:solidFill>
            </a:rPr>
            <a:t>0</a:t>
          </a:r>
          <a:r>
            <a:rPr kumimoji="1" lang="ja-JP" altLang="en-US" sz="1050">
              <a:solidFill>
                <a:srgbClr val="FF0000"/>
              </a:solidFill>
            </a:rPr>
            <a:t>になり、以降の数値が入力されていたとしても、結果に影響しないようになっている</a:t>
          </a:r>
        </a:p>
        <a:p>
          <a:r>
            <a:rPr kumimoji="1" lang="ja-JP" altLang="en-US" sz="1050">
              <a:solidFill>
                <a:srgbClr val="FF0000"/>
              </a:solidFill>
            </a:rPr>
            <a:t>・実は扶養親族フラグ</a:t>
          </a:r>
        </a:p>
        <a:p>
          <a:r>
            <a:rPr kumimoji="1" lang="ja-JP" altLang="en-US" sz="1050">
              <a:solidFill>
                <a:srgbClr val="FF0000"/>
              </a:solidFill>
            </a:rPr>
            <a:t>　所得を計算した結果、特定親族ではなく扶養親族であった場合に</a:t>
          </a:r>
          <a:r>
            <a:rPr kumimoji="1" lang="en-US" altLang="ja-JP" sz="1050">
              <a:solidFill>
                <a:srgbClr val="FF0000"/>
              </a:solidFill>
            </a:rPr>
            <a:t>1</a:t>
          </a:r>
          <a:r>
            <a:rPr kumimoji="1" lang="ja-JP" altLang="en-US" sz="1050">
              <a:solidFill>
                <a:srgbClr val="FF0000"/>
              </a:solidFill>
            </a:rPr>
            <a:t>になる。特定扶養親族として計上し、計算シートに返す</a:t>
          </a:r>
        </a:p>
        <a:p>
          <a:r>
            <a:rPr kumimoji="1" lang="ja-JP" altLang="en-US" sz="1050">
              <a:solidFill>
                <a:srgbClr val="FF0000"/>
              </a:solidFill>
            </a:rPr>
            <a:t>・多子こどもフラグ</a:t>
          </a:r>
        </a:p>
        <a:p>
          <a:r>
            <a:rPr kumimoji="1" lang="ja-JP" altLang="en-US" sz="1050">
              <a:solidFill>
                <a:srgbClr val="FF0000"/>
              </a:solidFill>
            </a:rPr>
            <a:t>　特定親族のうち、子どもカウントされる年収</a:t>
          </a:r>
          <a:r>
            <a:rPr kumimoji="1" lang="en-US" altLang="ja-JP" sz="1050">
              <a:solidFill>
                <a:srgbClr val="FF0000"/>
              </a:solidFill>
            </a:rPr>
            <a:t>160</a:t>
          </a:r>
          <a:r>
            <a:rPr kumimoji="1" lang="ja-JP" altLang="en-US" sz="1050">
              <a:solidFill>
                <a:srgbClr val="FF0000"/>
              </a:solidFill>
            </a:rPr>
            <a:t>万円以下の者である場合に</a:t>
          </a:r>
          <a:r>
            <a:rPr kumimoji="1" lang="en-US" altLang="ja-JP" sz="1050">
              <a:solidFill>
                <a:srgbClr val="FF0000"/>
              </a:solidFill>
            </a:rPr>
            <a:t>1</a:t>
          </a:r>
          <a:r>
            <a:rPr kumimoji="1" lang="ja-JP" altLang="en-US" sz="1050">
              <a:solidFill>
                <a:srgbClr val="FF0000"/>
              </a:solidFill>
            </a:rPr>
            <a:t>になる。特定扶養親族の場合は</a:t>
          </a:r>
          <a:r>
            <a:rPr kumimoji="1" lang="en-US" altLang="ja-JP" sz="1050">
              <a:solidFill>
                <a:srgbClr val="FF0000"/>
              </a:solidFill>
            </a:rPr>
            <a:t>0</a:t>
          </a:r>
          <a:r>
            <a:rPr kumimoji="1" lang="ja-JP" altLang="en-US" sz="1050">
              <a:solidFill>
                <a:srgbClr val="FF0000"/>
              </a:solidFill>
            </a:rPr>
            <a:t>になるため、「実は扶養親族フラグ」と同時に</a:t>
          </a:r>
          <a:r>
            <a:rPr kumimoji="1" lang="en-US" altLang="ja-JP" sz="1050">
              <a:solidFill>
                <a:srgbClr val="FF0000"/>
              </a:solidFill>
            </a:rPr>
            <a:t>1</a:t>
          </a:r>
          <a:r>
            <a:rPr kumimoji="1" lang="ja-JP" altLang="en-US" sz="1050">
              <a:solidFill>
                <a:srgbClr val="FF0000"/>
              </a:solidFill>
            </a:rPr>
            <a:t>になることは無い。</a:t>
          </a:r>
        </a:p>
        <a:p>
          <a:r>
            <a:rPr kumimoji="1" lang="ja-JP" altLang="en-US" sz="1050">
              <a:solidFill>
                <a:srgbClr val="FF0000"/>
              </a:solidFill>
            </a:rPr>
            <a:t>・特特控除額</a:t>
          </a:r>
        </a:p>
        <a:p>
          <a:r>
            <a:rPr kumimoji="1" lang="ja-JP" altLang="en-US" sz="1050">
              <a:solidFill>
                <a:srgbClr val="FF0000"/>
              </a:solidFill>
            </a:rPr>
            <a:t>　特定親族特別控除の額。「存在しない」「存在するけど実は扶養親族」のときは</a:t>
          </a:r>
          <a:r>
            <a:rPr kumimoji="1" lang="en-US" altLang="ja-JP" sz="1050">
              <a:solidFill>
                <a:srgbClr val="FF0000"/>
              </a:solidFill>
            </a:rPr>
            <a:t>0</a:t>
          </a:r>
          <a:r>
            <a:rPr kumimoji="1" lang="ja-JP" altLang="en-US" sz="1050">
              <a:solidFill>
                <a:srgbClr val="FF0000"/>
              </a:solidFill>
            </a:rPr>
            <a:t>になるようにしている</a:t>
          </a:r>
        </a:p>
        <a:p>
          <a:endParaRPr kumimoji="1" lang="ja-JP" altLang="en-US" sz="105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本人</a:t>
          </a:r>
          <a:r>
            <a:rPr kumimoji="1" lang="ja-JP" altLang="ja-JP" sz="1100">
              <a:solidFill>
                <a:srgbClr val="FF0000"/>
              </a:solidFill>
              <a:effectLst/>
              <a:latin typeface="+mn-lt"/>
              <a:ea typeface="+mn-ea"/>
              <a:cs typeface="+mn-cs"/>
            </a:rPr>
            <a:t>欄</a:t>
          </a:r>
          <a:r>
            <a:rPr kumimoji="1" lang="en-US" altLang="ja-JP" sz="1100">
              <a:solidFill>
                <a:srgbClr val="FF0000"/>
              </a:solidFill>
              <a:effectLst/>
              <a:latin typeface="+mn-lt"/>
              <a:ea typeface="+mn-ea"/>
              <a:cs typeface="+mn-cs"/>
            </a:rPr>
            <a:t>】</a:t>
          </a:r>
          <a:endParaRPr kumimoji="1" lang="ja-JP" altLang="en-US" sz="1050">
            <a:solidFill>
              <a:srgbClr val="FF0000"/>
            </a:solidFill>
          </a:endParaRPr>
        </a:p>
        <a:p>
          <a:r>
            <a:rPr kumimoji="1" lang="ja-JP" altLang="en-US" sz="1050">
              <a:solidFill>
                <a:srgbClr val="FF0000"/>
              </a:solidFill>
            </a:rPr>
            <a:t>・計算上の扶養者</a:t>
          </a:r>
        </a:p>
        <a:p>
          <a:r>
            <a:rPr kumimoji="1" lang="ja-JP" altLang="en-US" sz="1050">
              <a:solidFill>
                <a:srgbClr val="FF0000"/>
              </a:solidFill>
            </a:rPr>
            <a:t>　本人をどちらが扶養しているかは申告書シートで回答させているが、特定親族相当の収入がある場合「扶養していない」を選ぶことになるため、その場合に算定基準額が高い方の生計維持者に寄せる処理をしている。ただし、</a:t>
          </a:r>
          <a:r>
            <a:rPr kumimoji="1" lang="en-US" altLang="ja-JP" sz="1050">
              <a:solidFill>
                <a:srgbClr val="FF0000"/>
              </a:solidFill>
            </a:rPr>
            <a:t>(</a:t>
          </a:r>
          <a:r>
            <a:rPr kumimoji="1" lang="ja-JP" altLang="en-US" sz="1050">
              <a:solidFill>
                <a:srgbClr val="FF0000"/>
              </a:solidFill>
            </a:rPr>
            <a:t>本来は誤申告だが</a:t>
          </a:r>
          <a:r>
            <a:rPr kumimoji="1" lang="en-US" altLang="ja-JP" sz="1050">
              <a:solidFill>
                <a:srgbClr val="FF0000"/>
              </a:solidFill>
            </a:rPr>
            <a:t>)</a:t>
          </a:r>
          <a:r>
            <a:rPr kumimoji="1" lang="ja-JP" altLang="en-US" sz="1050">
              <a:solidFill>
                <a:srgbClr val="FF0000"/>
              </a:solidFill>
            </a:rPr>
            <a:t>どちらかの生計維持者を選択していた場合は、その選択を優先する</a:t>
          </a:r>
        </a:p>
        <a:p>
          <a:r>
            <a:rPr kumimoji="1" lang="ja-JP" altLang="en-US" sz="1050">
              <a:solidFill>
                <a:srgbClr val="FF0000"/>
              </a:solidFill>
            </a:rPr>
            <a:t>・特定親族フラグ</a:t>
          </a:r>
        </a:p>
        <a:p>
          <a:r>
            <a:rPr kumimoji="1" lang="ja-JP" altLang="en-US" sz="1050">
              <a:solidFill>
                <a:srgbClr val="FF0000"/>
              </a:solidFill>
            </a:rPr>
            <a:t>　年齢と合計所得金額から、特定親族であるかを確認している。なお、本人が特定扶養親族の場合は計算シート側の「申込者本人該当区分：扶養控除（特定）」でチェックしているため、「実は扶養親族フラグ」は不要</a:t>
          </a:r>
        </a:p>
        <a:p>
          <a:r>
            <a:rPr kumimoji="1" lang="ja-JP" altLang="en-US" sz="1050">
              <a:solidFill>
                <a:srgbClr val="FF0000"/>
              </a:solidFill>
            </a:rPr>
            <a:t>・多子こどもフラグ</a:t>
          </a:r>
        </a:p>
        <a:p>
          <a:r>
            <a:rPr kumimoji="1" lang="ja-JP" altLang="en-US" sz="1050">
              <a:solidFill>
                <a:srgbClr val="FF0000"/>
              </a:solidFill>
            </a:rPr>
            <a:t>　特定親族か、早生まれ特定親族かのときで、年収</a:t>
          </a:r>
          <a:r>
            <a:rPr kumimoji="1" lang="en-US" altLang="ja-JP" sz="1050">
              <a:solidFill>
                <a:srgbClr val="FF0000"/>
              </a:solidFill>
            </a:rPr>
            <a:t>160</a:t>
          </a:r>
          <a:r>
            <a:rPr kumimoji="1" lang="ja-JP" altLang="en-US" sz="1050">
              <a:solidFill>
                <a:srgbClr val="FF0000"/>
              </a:solidFill>
            </a:rPr>
            <a:t>万円以下であれば</a:t>
          </a:r>
          <a:r>
            <a:rPr kumimoji="1" lang="en-US" altLang="ja-JP" sz="1050">
              <a:solidFill>
                <a:srgbClr val="FF0000"/>
              </a:solidFill>
            </a:rPr>
            <a:t>1</a:t>
          </a:r>
          <a:r>
            <a:rPr kumimoji="1" lang="ja-JP" altLang="en-US" sz="1050">
              <a:solidFill>
                <a:srgbClr val="FF0000"/>
              </a:solidFill>
            </a:rPr>
            <a:t>になる</a:t>
          </a:r>
        </a:p>
        <a:p>
          <a:r>
            <a:rPr kumimoji="1" lang="ja-JP" altLang="en-US" sz="1050">
              <a:solidFill>
                <a:srgbClr val="FF0000"/>
              </a:solidFill>
            </a:rPr>
            <a:t>・早生まれ特定親族</a:t>
          </a:r>
        </a:p>
        <a:p>
          <a:r>
            <a:rPr kumimoji="1" lang="ja-JP" altLang="en-US" sz="1050">
              <a:solidFill>
                <a:srgbClr val="FF0000"/>
              </a:solidFill>
            </a:rPr>
            <a:t>　早生まれで、合計所得金額が特定親族の範囲に入っているか。年齢が重ならないので、特定親族フラグと同時に</a:t>
          </a:r>
          <a:r>
            <a:rPr kumimoji="1" lang="en-US" altLang="ja-JP" sz="1050">
              <a:solidFill>
                <a:srgbClr val="FF0000"/>
              </a:solidFill>
            </a:rPr>
            <a:t>1</a:t>
          </a:r>
          <a:r>
            <a:rPr kumimoji="1" lang="ja-JP" altLang="en-US" sz="1050">
              <a:solidFill>
                <a:srgbClr val="FF0000"/>
              </a:solidFill>
            </a:rPr>
            <a:t>になることは無い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T019\Desktop\20200325\&#28023;&#22806;&#23621;&#20303;&#32773;&#12398;&#12383;&#12417;&#12398;&#21454;&#20837;&#31561;&#30003;&#21578;&#26360;_20200106_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シート"/>
      <sheetName val="前年レート"/>
      <sheetName val="海外居住者のための収入等申告書"/>
      <sheetName val="記入例"/>
      <sheetName val="当年レート"/>
      <sheetName val="T11所得区分"/>
      <sheetName val="T12給与所得"/>
      <sheetName val="T13人的控除"/>
      <sheetName val="T15調整控除"/>
      <sheetName val="T16税率等"/>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33"/>
  <sheetViews>
    <sheetView tabSelected="1" view="pageBreakPreview" zoomScaleNormal="100" zoomScaleSheetLayoutView="100" workbookViewId="0">
      <selection activeCell="D10" sqref="D10"/>
    </sheetView>
  </sheetViews>
  <sheetFormatPr defaultRowHeight="13.5"/>
  <cols>
    <col min="1" max="1" width="3.125" customWidth="1"/>
    <col min="2" max="4" width="9.125" customWidth="1"/>
    <col min="5" max="5" width="0.625" customWidth="1"/>
    <col min="6" max="6" width="13.25" customWidth="1"/>
    <col min="7" max="7" width="4.5" customWidth="1"/>
    <col min="8" max="8" width="7.125" customWidth="1"/>
    <col min="9" max="9" width="2.875" customWidth="1"/>
    <col min="10" max="10" width="2.625" customWidth="1"/>
    <col min="11" max="11" width="2" customWidth="1"/>
    <col min="12" max="12" width="12" customWidth="1"/>
    <col min="13" max="13" width="4.5" customWidth="1"/>
    <col min="14" max="14" width="7.125" customWidth="1"/>
    <col min="15" max="15" width="2.875" customWidth="1"/>
    <col min="16" max="16" width="0.625" customWidth="1"/>
    <col min="17" max="17" width="2.875" customWidth="1"/>
  </cols>
  <sheetData>
    <row r="1" spans="1:17">
      <c r="A1" s="558" t="s">
        <v>325</v>
      </c>
      <c r="B1" s="558"/>
      <c r="C1" s="558"/>
      <c r="D1" s="558"/>
      <c r="E1" s="558"/>
      <c r="F1" s="558"/>
      <c r="G1" s="558"/>
      <c r="H1" s="558"/>
      <c r="I1" s="558"/>
      <c r="J1" s="558"/>
      <c r="K1" s="558"/>
      <c r="L1" s="558"/>
      <c r="M1" s="558"/>
      <c r="N1" s="558"/>
      <c r="O1" s="558"/>
    </row>
    <row r="2" spans="1:17" ht="6" customHeight="1">
      <c r="A2" s="55"/>
      <c r="B2" s="55"/>
      <c r="C2" s="55"/>
      <c r="D2" s="55"/>
      <c r="E2" s="55"/>
      <c r="F2" s="55"/>
      <c r="G2" s="55"/>
      <c r="H2" s="55"/>
      <c r="I2" s="55"/>
      <c r="J2" s="55"/>
      <c r="K2" s="55"/>
      <c r="L2" s="55"/>
      <c r="M2" s="55"/>
      <c r="N2" s="55"/>
      <c r="O2" s="560">
        <f>MAX(修正履歴!A:A)</f>
        <v>46086</v>
      </c>
      <c r="P2" s="560"/>
      <c r="Q2" s="560"/>
    </row>
    <row r="3" spans="1:17">
      <c r="A3" s="68" t="s">
        <v>242</v>
      </c>
      <c r="G3" s="55"/>
      <c r="H3" s="55"/>
      <c r="I3" s="55"/>
      <c r="J3" s="55"/>
      <c r="K3" s="55"/>
      <c r="L3" s="55"/>
      <c r="M3" s="55"/>
      <c r="N3" s="55"/>
      <c r="O3" s="560"/>
      <c r="P3" s="560"/>
      <c r="Q3" s="560"/>
    </row>
    <row r="4" spans="1:17" ht="6" customHeight="1">
      <c r="A4" s="55"/>
      <c r="B4" s="68"/>
      <c r="C4" s="68"/>
      <c r="D4" s="68"/>
      <c r="E4" s="68"/>
      <c r="F4" s="68"/>
      <c r="G4" s="55"/>
      <c r="H4" s="55"/>
      <c r="I4" s="55"/>
      <c r="J4" s="55"/>
      <c r="K4" s="55"/>
      <c r="L4" s="55"/>
      <c r="M4" s="55"/>
      <c r="N4" s="55"/>
      <c r="O4" s="55"/>
    </row>
    <row r="5" spans="1:17">
      <c r="A5" s="55"/>
      <c r="B5" s="559" t="str">
        <f>"　以下の"&amp;IF(VLOOKUP(L10,計算シート!F15:G22,2,0)=4,"奨学生の適格認定（家計）","者の申込等")&amp;"に際して、収入・所得等を提出すべき者のうちに１月１日時点で日本国外に居住している者がいるため、その収入・所得等の情報を申告します。"</f>
        <v>　以下の奨学生の適格認定（家計）に際して、収入・所得等を提出すべき者のうちに１月１日時点で日本国外に居住している者がいるため、その収入・所得等の情報を申告します。</v>
      </c>
      <c r="C5" s="559"/>
      <c r="D5" s="559"/>
      <c r="E5" s="559"/>
      <c r="F5" s="559"/>
      <c r="G5" s="559"/>
      <c r="H5" s="559"/>
      <c r="I5" s="559"/>
      <c r="J5" s="559"/>
      <c r="K5" s="559"/>
      <c r="L5" s="559"/>
      <c r="M5" s="559"/>
      <c r="N5" s="559"/>
      <c r="O5" s="559"/>
    </row>
    <row r="6" spans="1:17">
      <c r="A6" s="55"/>
      <c r="B6" s="559"/>
      <c r="C6" s="559"/>
      <c r="D6" s="559"/>
      <c r="E6" s="559"/>
      <c r="F6" s="559"/>
      <c r="G6" s="559"/>
      <c r="H6" s="559"/>
      <c r="I6" s="559"/>
      <c r="J6" s="559"/>
      <c r="K6" s="559"/>
      <c r="L6" s="559"/>
      <c r="M6" s="559"/>
      <c r="N6" s="559"/>
      <c r="O6" s="559"/>
    </row>
    <row r="7" spans="1:17" ht="5.25" customHeight="1">
      <c r="A7" s="55"/>
      <c r="B7" s="55"/>
      <c r="C7" s="55"/>
      <c r="D7" s="55"/>
      <c r="E7" s="55"/>
      <c r="F7" s="55"/>
      <c r="G7" s="55"/>
      <c r="H7" s="55"/>
      <c r="J7" s="68"/>
      <c r="L7" s="128"/>
      <c r="M7" s="128"/>
      <c r="N7" s="128"/>
      <c r="O7" s="55"/>
    </row>
    <row r="8" spans="1:17" ht="14.25" thickBot="1">
      <c r="A8" s="55"/>
      <c r="B8" s="55"/>
      <c r="C8" s="55"/>
      <c r="D8" s="55"/>
      <c r="E8" s="55"/>
      <c r="F8" s="55"/>
      <c r="G8" s="55"/>
      <c r="H8" s="571" t="s">
        <v>331</v>
      </c>
      <c r="I8" s="571"/>
      <c r="J8" s="571"/>
      <c r="K8" s="571"/>
      <c r="L8" s="565"/>
      <c r="M8" s="565"/>
      <c r="N8" s="565"/>
      <c r="O8" s="55"/>
    </row>
    <row r="9" spans="1:17" ht="9.9499999999999993" customHeight="1">
      <c r="A9" s="55"/>
      <c r="B9" s="55"/>
      <c r="C9" s="55"/>
      <c r="D9" s="55"/>
      <c r="E9" s="55"/>
      <c r="F9" s="55"/>
      <c r="G9" s="55"/>
      <c r="H9" s="55"/>
      <c r="L9" s="566" t="s">
        <v>768</v>
      </c>
      <c r="M9" s="566"/>
      <c r="N9" s="566"/>
      <c r="O9" s="55"/>
    </row>
    <row r="10" spans="1:17" ht="14.25" thickBot="1">
      <c r="A10" s="55"/>
      <c r="C10" s="149" t="s">
        <v>499</v>
      </c>
      <c r="D10" s="167">
        <v>2026</v>
      </c>
      <c r="E10" s="55"/>
      <c r="F10" s="149"/>
      <c r="H10" s="571" t="s">
        <v>341</v>
      </c>
      <c r="I10" s="571"/>
      <c r="J10" s="571"/>
      <c r="K10" s="571"/>
      <c r="L10" s="573" t="s">
        <v>348</v>
      </c>
      <c r="M10" s="573"/>
      <c r="N10" s="573"/>
      <c r="O10" s="55"/>
    </row>
    <row r="11" spans="1:17" ht="14.25" thickBot="1">
      <c r="A11" s="55"/>
      <c r="C11" s="149" t="str">
        <f>IF(VLOOKUP(L10,計算シート!F15:G22,2,0)=4,"奨学生番号","申込受付番号")</f>
        <v>奨学生番号</v>
      </c>
      <c r="D11" s="574"/>
      <c r="E11" s="574"/>
      <c r="F11" s="574"/>
      <c r="G11" s="55" t="s">
        <v>767</v>
      </c>
      <c r="H11" s="399"/>
      <c r="I11" s="55" t="s">
        <v>767</v>
      </c>
      <c r="J11" s="568"/>
      <c r="K11" s="568"/>
      <c r="L11" s="568"/>
      <c r="M11" s="568"/>
      <c r="N11" s="568"/>
      <c r="O11" s="55"/>
    </row>
    <row r="12" spans="1:17" ht="2.25" customHeight="1">
      <c r="A12" s="55"/>
      <c r="B12" s="116"/>
      <c r="C12" s="362"/>
      <c r="D12" s="363"/>
      <c r="E12" s="363"/>
      <c r="F12" s="363"/>
      <c r="G12" s="364"/>
      <c r="H12" s="365"/>
      <c r="I12" s="364"/>
      <c r="J12" s="366"/>
      <c r="K12" s="366"/>
      <c r="L12" s="366"/>
      <c r="M12" s="366"/>
      <c r="N12" s="364"/>
      <c r="O12" s="55"/>
    </row>
    <row r="13" spans="1:17" ht="14.25" thickBot="1">
      <c r="B13" s="369"/>
      <c r="C13" s="368" t="str">
        <f>IF(VLOOKUP(L10,計算シート!F15:G22,2,0)=4,"奨学生","申込者")&amp;"本人氏名"</f>
        <v>奨学生本人氏名</v>
      </c>
      <c r="D13" s="556"/>
      <c r="E13" s="556"/>
      <c r="F13" s="556"/>
      <c r="G13" s="572" t="str">
        <f>IF(計算シート!C69=0,"本人生年月日","")</f>
        <v>本人生年月日</v>
      </c>
      <c r="H13" s="572"/>
      <c r="I13" s="565"/>
      <c r="J13" s="565"/>
      <c r="K13" s="565"/>
      <c r="L13" s="565"/>
      <c r="M13" s="361" t="str">
        <f>IF(計算シート!C69=0,"（ yyyy / mm / dd ）","")</f>
        <v>（ yyyy / mm / dd ）</v>
      </c>
      <c r="N13" s="367"/>
    </row>
    <row r="14" spans="1:17" ht="2.1" customHeight="1">
      <c r="B14" s="116"/>
      <c r="C14" s="362"/>
      <c r="D14" s="371"/>
      <c r="E14" s="371"/>
      <c r="F14" s="371"/>
      <c r="G14" s="372"/>
      <c r="H14" s="372"/>
      <c r="I14" s="373"/>
      <c r="J14" s="373"/>
      <c r="K14" s="374"/>
      <c r="L14" s="374"/>
      <c r="M14" s="375"/>
      <c r="N14" s="374"/>
    </row>
    <row r="15" spans="1:17" ht="14.25" thickBot="1">
      <c r="A15" s="370"/>
      <c r="B15" s="369"/>
      <c r="C15" s="368" t="str">
        <f>IF(計算シート!C69=0,"生計維持者１","配偶者")&amp;"の氏名"</f>
        <v>生計維持者１の氏名</v>
      </c>
      <c r="D15" s="556"/>
      <c r="E15" s="556"/>
      <c r="F15" s="556"/>
      <c r="G15" s="569" t="str">
        <f>IF(計算シート!C69=0,"本人との続柄","")</f>
        <v>本人との続柄</v>
      </c>
      <c r="H15" s="569"/>
      <c r="I15" s="557" t="s">
        <v>892</v>
      </c>
      <c r="J15" s="557"/>
      <c r="K15" s="379"/>
      <c r="L15" s="379"/>
      <c r="M15" s="380"/>
      <c r="N15" s="381"/>
    </row>
    <row r="16" spans="1:17" ht="2.1" customHeight="1">
      <c r="B16" s="116"/>
      <c r="C16" s="362"/>
      <c r="D16" s="371"/>
      <c r="E16" s="371"/>
      <c r="F16" s="371"/>
      <c r="G16" s="382"/>
      <c r="H16" s="382"/>
      <c r="I16" s="383"/>
      <c r="J16" s="383"/>
      <c r="K16" s="384"/>
      <c r="L16" s="384"/>
      <c r="M16" s="385"/>
      <c r="N16" s="385"/>
    </row>
    <row r="17" spans="1:14" ht="14.25" thickBot="1">
      <c r="A17" s="370"/>
      <c r="B17" s="369"/>
      <c r="C17" s="368" t="str">
        <f>IF(AND(計算シート!C69=0,NOT(OR(F36="いいえ",I15="祖父",I15="祖母",I15="その他"))),"生計維持者２"&amp;"の氏名","")</f>
        <v>生計維持者２の氏名</v>
      </c>
      <c r="D17" s="557"/>
      <c r="E17" s="557"/>
      <c r="F17" s="557"/>
      <c r="G17" s="577" t="str">
        <f>IF(AND(計算シート!C69=0,NOT(OR(F36="いいえ",I15="祖父",I15="祖母",I15="その他"))),"本人との続柄","")</f>
        <v>本人との続柄</v>
      </c>
      <c r="H17" s="577"/>
      <c r="I17" s="567" t="s">
        <v>893</v>
      </c>
      <c r="J17" s="567"/>
      <c r="K17" s="569" t="str">
        <f>IF(AND(計算シート!C69=0,NOT(OR(F36="いいえ",I15="祖父",I15="祖母",I15="その他"))),IF(OR(AND(I15="父",I17="父"),AND(I15="母",I17="母")),"生計維持者１と２の続柄が同じです","※生計維持者２がいない場合、氏名は入力しないでください"),"")</f>
        <v>※生計維持者２がいない場合、氏名は入力しないでください</v>
      </c>
      <c r="L17" s="569"/>
      <c r="M17" s="569"/>
      <c r="N17" s="570"/>
    </row>
    <row r="18" spans="1:14" ht="2.1" customHeight="1">
      <c r="C18" s="149"/>
      <c r="D18" s="353"/>
      <c r="E18" s="353"/>
      <c r="F18" s="353"/>
      <c r="G18" s="376"/>
      <c r="H18" s="376"/>
      <c r="I18" s="354"/>
      <c r="J18" s="354"/>
      <c r="L18" s="360"/>
      <c r="M18" s="360"/>
      <c r="N18" s="161"/>
    </row>
    <row r="19" spans="1:14">
      <c r="B19" s="68" t="str">
        <f>"※ 以下、収入（所得）は【"&amp;YEAR(計算シート!C47)-1&amp;"年1月1日～12月31日】のものを入力してください。"</f>
        <v>※ 以下、収入（所得）は【2025年1月1日～12月31日】のものを入力してください。</v>
      </c>
      <c r="C19" s="68"/>
      <c r="D19" s="68"/>
      <c r="E19" s="68"/>
      <c r="F19" s="68"/>
      <c r="G19" s="165"/>
      <c r="H19" s="165"/>
      <c r="I19" s="164"/>
      <c r="J19" s="164"/>
      <c r="K19" s="164"/>
      <c r="L19" s="161"/>
      <c r="M19" s="161"/>
      <c r="N19" s="161"/>
    </row>
    <row r="20" spans="1:14">
      <c r="B20" s="68" t="str">
        <f>"    扶養等の情報は【"&amp;YEAR(計算シート!C47)-1&amp;"年12月31日】現在のものを入力してください。"</f>
        <v xml:space="preserve">    扶養等の情報は【2025年12月31日】現在のものを入力してください。</v>
      </c>
      <c r="C20" s="68"/>
      <c r="D20" s="68"/>
      <c r="E20" s="68"/>
      <c r="F20" s="68"/>
      <c r="G20" s="165"/>
      <c r="H20" s="165"/>
      <c r="I20" s="164"/>
      <c r="J20" s="164"/>
      <c r="K20" s="164"/>
      <c r="L20" s="161"/>
      <c r="M20" s="161"/>
      <c r="N20" s="161"/>
    </row>
    <row r="21" spans="1:14" ht="3.75" customHeight="1" thickBot="1">
      <c r="A21" s="61"/>
      <c r="B21" s="61"/>
      <c r="C21" s="61"/>
      <c r="D21" s="61"/>
      <c r="E21" s="61"/>
      <c r="F21" s="61"/>
      <c r="G21" s="61"/>
    </row>
    <row r="22" spans="1:14" s="76" customFormat="1" ht="15.6" customHeight="1" thickTop="1">
      <c r="A22" s="67" t="str">
        <f>IF(計算シート!C69=0,"奨学生本人情報","※大学院申込の場合、この欄は入力不要です")</f>
        <v>奨学生本人情報</v>
      </c>
      <c r="B22" s="56"/>
      <c r="C22" s="56"/>
      <c r="D22" s="56"/>
      <c r="E22" s="56"/>
      <c r="F22" s="56"/>
      <c r="G22" s="75"/>
      <c r="H22" s="356"/>
      <c r="I22" s="64" t="s">
        <v>318</v>
      </c>
      <c r="J22" s="151"/>
      <c r="K22" s="151"/>
      <c r="L22" s="151"/>
      <c r="M22" s="151"/>
      <c r="N22" s="75"/>
    </row>
    <row r="23" spans="1:14" s="76" customFormat="1" ht="12.95" customHeight="1" thickBot="1">
      <c r="A23" s="132" t="s">
        <v>261</v>
      </c>
      <c r="B23" s="561" t="str">
        <f>IF(計算シート!C69=0,"生年月日（yyyy/mm/dd）","")</f>
        <v>生年月日（yyyy/mm/dd）</v>
      </c>
      <c r="C23" s="562"/>
      <c r="D23" s="562"/>
      <c r="E23" s="298"/>
      <c r="F23" s="401" t="str">
        <f>IF(I13="","",I13)</f>
        <v/>
      </c>
      <c r="G23" s="79"/>
      <c r="I23" s="153" t="s">
        <v>319</v>
      </c>
      <c r="J23" s="56"/>
      <c r="K23" s="56"/>
      <c r="L23" s="56"/>
      <c r="M23" s="56"/>
      <c r="N23" s="79"/>
    </row>
    <row r="24" spans="1:14" s="76" customFormat="1" ht="12.95" customHeight="1" thickBot="1">
      <c r="A24" s="133" t="s">
        <v>262</v>
      </c>
      <c r="B24" s="563" t="str">
        <f>IF(計算シート!C69=0,"どちらの生計維持者に扶養されていますか","")</f>
        <v>どちらの生計維持者に扶養されていますか</v>
      </c>
      <c r="C24" s="564"/>
      <c r="D24" s="564"/>
      <c r="F24" s="54" t="s">
        <v>38</v>
      </c>
      <c r="G24" s="79"/>
      <c r="I24" s="153" t="s">
        <v>320</v>
      </c>
      <c r="J24" s="56"/>
      <c r="K24" s="56"/>
      <c r="L24" s="56"/>
      <c r="M24" s="56"/>
      <c r="N24" s="79"/>
    </row>
    <row r="25" spans="1:14" s="76" customFormat="1" ht="12.95" customHeight="1" thickBot="1">
      <c r="A25" s="133" t="s">
        <v>263</v>
      </c>
      <c r="B25" s="581" t="str">
        <f>IF(計算シート!C69=0,"障がい者に該当していますか","")</f>
        <v>障がい者に該当していますか</v>
      </c>
      <c r="C25" s="582"/>
      <c r="D25" s="582"/>
      <c r="E25" s="80"/>
      <c r="F25" s="70" t="s">
        <v>44</v>
      </c>
      <c r="G25" s="79"/>
      <c r="I25" s="153" t="s">
        <v>321</v>
      </c>
      <c r="J25" s="56"/>
      <c r="K25" s="56"/>
      <c r="L25" s="56"/>
      <c r="M25" s="56"/>
      <c r="N25" s="79"/>
    </row>
    <row r="26" spans="1:14" s="76" customFormat="1" ht="12.95" customHeight="1" thickBot="1">
      <c r="A26" s="133" t="s">
        <v>264</v>
      </c>
      <c r="B26" s="563" t="str">
        <f>IF(計算シート!C69=0,"　生計維持者と同居していますか","")</f>
        <v>　生計維持者と同居していますか</v>
      </c>
      <c r="C26" s="564"/>
      <c r="D26" s="564"/>
      <c r="E26" s="80"/>
      <c r="F26" s="54" t="s">
        <v>40</v>
      </c>
      <c r="G26" s="79"/>
      <c r="I26" s="355">
        <v>1</v>
      </c>
      <c r="J26" s="575" t="s">
        <v>322</v>
      </c>
      <c r="K26" s="576"/>
      <c r="L26" s="576"/>
      <c r="M26" s="576"/>
      <c r="N26" s="400" t="s">
        <v>500</v>
      </c>
    </row>
    <row r="27" spans="1:14" s="76" customFormat="1" ht="12.95" customHeight="1" thickBot="1">
      <c r="A27" s="133" t="s">
        <v>265</v>
      </c>
      <c r="B27" s="563" t="str">
        <f>IF(計算シート!C69=0,"奨学生本人に収入（所得）がありますか","")</f>
        <v>奨学生本人に収入（所得）がありますか</v>
      </c>
      <c r="C27" s="564"/>
      <c r="D27" s="564"/>
      <c r="E27" s="77"/>
      <c r="F27" s="40" t="s">
        <v>42</v>
      </c>
      <c r="G27" s="79"/>
      <c r="I27" s="355">
        <v>2</v>
      </c>
      <c r="J27" s="576" t="s">
        <v>329</v>
      </c>
      <c r="K27" s="576"/>
      <c r="L27" s="576"/>
      <c r="M27" s="576"/>
      <c r="N27" s="400" t="str">
        <f>IF(F36="はい","○","")</f>
        <v>○</v>
      </c>
    </row>
    <row r="28" spans="1:14" s="76" customFormat="1" ht="12.95" customHeight="1" thickBot="1">
      <c r="A28" s="133" t="s">
        <v>266</v>
      </c>
      <c r="B28" s="563" t="str">
        <f>IF(計算シート!C69=0,"　給与収入金額の通貨","")</f>
        <v>　給与収入金額の通貨</v>
      </c>
      <c r="C28" s="564"/>
      <c r="D28" s="564"/>
      <c r="E28" s="77"/>
      <c r="F28" s="54" t="s">
        <v>49</v>
      </c>
      <c r="G28" s="79"/>
      <c r="I28" s="355">
        <v>3</v>
      </c>
      <c r="J28" s="575" t="s">
        <v>328</v>
      </c>
      <c r="K28" s="576"/>
      <c r="L28" s="576"/>
      <c r="M28" s="576"/>
      <c r="N28" s="400" t="str">
        <f>IF(SUM(F51:F60,L51:L60)&gt;0,"○","")</f>
        <v/>
      </c>
    </row>
    <row r="29" spans="1:14" s="76" customFormat="1" ht="12.95" customHeight="1" thickBot="1">
      <c r="A29" s="133" t="s">
        <v>267</v>
      </c>
      <c r="B29" s="563" t="str">
        <f>IF(計算シート!C69=0,"　　給与収入金額","")</f>
        <v>　　給与収入金額</v>
      </c>
      <c r="C29" s="564"/>
      <c r="D29" s="564"/>
      <c r="F29" s="159">
        <v>0</v>
      </c>
      <c r="G29" s="78" t="str">
        <f>MID(F28,SEARCH("(",F28)+1,3)</f>
        <v>JPY</v>
      </c>
      <c r="I29" s="355">
        <v>4</v>
      </c>
      <c r="J29" s="575" t="str">
        <f>IF(計算シート!C69=0,"生計維持者が１人のみであることを証するもの","ひとり親世帯に関するもの")</f>
        <v>生計維持者が１人のみであることを証するもの</v>
      </c>
      <c r="K29" s="576"/>
      <c r="L29" s="576"/>
      <c r="M29" s="576"/>
      <c r="N29" s="400" t="str">
        <f>IF(OR(AND(計算シート!C69=0,F36="いいえ"),AND(計算シート!C69=1,F40="ひとり親である")),"○","")</f>
        <v/>
      </c>
    </row>
    <row r="30" spans="1:14" s="76" customFormat="1" ht="12.95" customHeight="1" thickBot="1">
      <c r="A30" s="133" t="s">
        <v>268</v>
      </c>
      <c r="B30" s="563" t="str">
        <f>IF(計算シート!C69=0,"　給与・年金以外の所得の通貨","")</f>
        <v>　給与・年金以外の所得の通貨</v>
      </c>
      <c r="C30" s="564"/>
      <c r="D30" s="564"/>
      <c r="E30" s="77"/>
      <c r="F30" s="54" t="s">
        <v>49</v>
      </c>
      <c r="G30" s="79"/>
      <c r="I30" s="355">
        <v>5</v>
      </c>
      <c r="J30" s="575" t="s">
        <v>326</v>
      </c>
      <c r="K30" s="576"/>
      <c r="L30" s="576"/>
      <c r="M30" s="576"/>
      <c r="N30" s="400" t="str">
        <f>IF(OR(F25="障がい者である",F25="特別の障がい者である",F39="障がい者である",F39="特別の障がい者である",L39="障がい者である",L39="特別の障がい者である",SUM(F58:F60,L58:L60)&gt;0),"○","")</f>
        <v/>
      </c>
    </row>
    <row r="31" spans="1:14" s="76" customFormat="1" ht="12.95" customHeight="1" thickBot="1">
      <c r="A31" s="134" t="s">
        <v>269</v>
      </c>
      <c r="B31" s="579" t="str">
        <f>IF(計算シート!C69=0,"　　給与・年金以外の所得の金額","")</f>
        <v>　　給与・年金以外の所得の金額</v>
      </c>
      <c r="C31" s="580"/>
      <c r="D31" s="580"/>
      <c r="E31" s="84"/>
      <c r="F31" s="159">
        <v>0</v>
      </c>
      <c r="G31" s="85" t="str">
        <f>MID(F30,SEARCH("(",F30)+1,3)</f>
        <v>JPY</v>
      </c>
      <c r="I31" s="152"/>
      <c r="J31" s="94"/>
      <c r="K31" s="94"/>
      <c r="L31" s="94"/>
      <c r="M31" s="94"/>
      <c r="N31" s="104"/>
    </row>
    <row r="32" spans="1:14" s="76" customFormat="1" ht="3" customHeight="1" thickTop="1"/>
    <row r="33" spans="1:18" s="76" customFormat="1" ht="14.1" customHeight="1" thickBot="1">
      <c r="A33" s="59"/>
      <c r="B33" s="59"/>
      <c r="C33" s="59"/>
      <c r="D33" s="59"/>
      <c r="E33" s="60"/>
      <c r="F33" s="86" t="str">
        <f>IF(計算シート!C69=0,"生計維持者１","申込者本人")</f>
        <v>生計維持者１</v>
      </c>
      <c r="G33" s="88"/>
      <c r="H33" s="86"/>
      <c r="I33" s="87"/>
      <c r="J33" s="59"/>
      <c r="K33" s="60"/>
      <c r="L33" s="102" t="str">
        <f>IF(計算シート!C69=0,IF(AND(F36="はい",OR(I15="その他",I15="祖父",I15="祖母")),"生計維持者１の配偶者",IF(AND(F36="はい",OR(AND(I15="父",I17="母"),AND(I15="母",I17="父"))),"生計維持者２","")),IF(F36="はい","申込者本人の配偶者",""))</f>
        <v>生計維持者２</v>
      </c>
      <c r="M33" s="225" t="str">
        <f>IF(L33="","","★")</f>
        <v>★</v>
      </c>
      <c r="N33" s="350"/>
      <c r="O33" s="351"/>
      <c r="P33" s="89"/>
    </row>
    <row r="34" spans="1:18" s="76" customFormat="1" ht="15.6" customHeight="1" thickTop="1" thickBot="1">
      <c r="A34" s="64" t="str">
        <f>IF(計算シート!C69=0,"生計維持者","申込者本人")&amp;"の基本情報"</f>
        <v>生計維持者の基本情報</v>
      </c>
      <c r="B34" s="338"/>
      <c r="C34" s="338"/>
      <c r="D34" s="338"/>
      <c r="E34" s="339"/>
      <c r="F34" s="56"/>
      <c r="G34" s="56"/>
      <c r="H34" s="56"/>
      <c r="I34" s="90"/>
      <c r="J34" s="56"/>
      <c r="K34" s="57"/>
      <c r="L34" s="103" t="str">
        <f>IF(OR(L33="生計維持者１の配偶者",L33="申込者本人の配偶者"),"(配偶者の基本情報）","")</f>
        <v/>
      </c>
      <c r="M34" s="75"/>
      <c r="N34" s="392" t="str">
        <f>IF(M33="★","★の者が1/1時","")</f>
        <v>★の者が1/1時</v>
      </c>
      <c r="P34" s="91"/>
    </row>
    <row r="35" spans="1:18" s="76" customFormat="1" ht="12.95" customHeight="1" thickBot="1">
      <c r="A35" s="135" t="s">
        <v>270</v>
      </c>
      <c r="B35" s="563" t="s">
        <v>351</v>
      </c>
      <c r="C35" s="564"/>
      <c r="D35" s="564"/>
      <c r="E35" s="340"/>
      <c r="F35" s="169"/>
      <c r="G35" s="56"/>
      <c r="H35" s="331"/>
      <c r="I35" s="90"/>
      <c r="J35" s="138" t="s">
        <v>275</v>
      </c>
      <c r="K35" s="57"/>
      <c r="L35" s="169"/>
      <c r="M35" s="79"/>
      <c r="N35" s="392" t="str">
        <f>IF(M33="★","点で日本国内に","")</f>
        <v>点で日本国内に</v>
      </c>
      <c r="P35" s="91"/>
    </row>
    <row r="36" spans="1:18" s="76" customFormat="1" ht="12.95" customHeight="1" thickBot="1">
      <c r="A36" s="136" t="s">
        <v>271</v>
      </c>
      <c r="B36" s="563" t="str">
        <f>IF(計算シート!C69=0,"","申込者本人に")&amp;"配偶者はいますか"</f>
        <v>配偶者はいますか</v>
      </c>
      <c r="C36" s="564"/>
      <c r="D36" s="564"/>
      <c r="E36" s="340"/>
      <c r="F36" s="40" t="s">
        <v>40</v>
      </c>
      <c r="G36" s="56"/>
      <c r="H36" s="92"/>
      <c r="I36" s="90"/>
      <c r="J36" s="139"/>
      <c r="K36" s="57"/>
      <c r="L36" s="92"/>
      <c r="M36" s="79"/>
      <c r="N36" s="392" t="str">
        <f>IF(M33="★","居住していた場","")</f>
        <v>居住していた場</v>
      </c>
      <c r="P36" s="91"/>
    </row>
    <row r="37" spans="1:18" s="76" customFormat="1" ht="12.95" hidden="1" customHeight="1" thickBot="1">
      <c r="A37" s="136" t="s">
        <v>272</v>
      </c>
      <c r="B37" s="563" t="str">
        <f>IF(計算シート!C69=0,"　配偶者は生計維持者２ですか","")</f>
        <v>　配偶者は生計維持者２ですか</v>
      </c>
      <c r="C37" s="564"/>
      <c r="D37" s="564"/>
      <c r="E37" s="340"/>
      <c r="F37" s="40" t="str">
        <f>IF(AND(I15&lt;&gt;"その他",F36="はい"),"はい","いいえ")</f>
        <v>はい</v>
      </c>
      <c r="G37" s="56"/>
      <c r="H37" s="92"/>
      <c r="I37" s="90"/>
      <c r="J37" s="139"/>
      <c r="K37" s="57"/>
      <c r="L37" s="92"/>
      <c r="M37" s="79"/>
      <c r="N37" s="393"/>
      <c r="P37" s="91"/>
      <c r="R37" s="76" t="s">
        <v>896</v>
      </c>
    </row>
    <row r="38" spans="1:18" s="76" customFormat="1" ht="12.95" customHeight="1" thickBot="1">
      <c r="A38" s="136" t="s">
        <v>272</v>
      </c>
      <c r="B38" s="563" t="str">
        <f>IF(AND(OR(I15&lt;&gt;"その他",I15&lt;&gt;"祖父",I15&lt;&gt;"祖母"),F36="はい"),"　生計維持者２","　配偶者")&amp;"と同居していますか"</f>
        <v>　生計維持者２と同居していますか</v>
      </c>
      <c r="C38" s="564"/>
      <c r="D38" s="578"/>
      <c r="E38" s="45"/>
      <c r="F38" s="40" t="s">
        <v>42</v>
      </c>
      <c r="G38" s="56"/>
      <c r="H38" s="92"/>
      <c r="I38" s="90"/>
      <c r="J38" s="139"/>
      <c r="K38" s="57"/>
      <c r="L38" s="56"/>
      <c r="M38" s="79"/>
      <c r="N38" s="392" t="str">
        <f>IF(M33="★","合でも入力して","")</f>
        <v>合でも入力して</v>
      </c>
      <c r="P38" s="91"/>
    </row>
    <row r="39" spans="1:18" s="76" customFormat="1" ht="12.95" customHeight="1" thickBot="1">
      <c r="A39" s="136" t="s">
        <v>273</v>
      </c>
      <c r="B39" s="587" t="str">
        <f>"障がい者に該当していますか"</f>
        <v>障がい者に該当していますか</v>
      </c>
      <c r="C39" s="588"/>
      <c r="D39" s="588"/>
      <c r="E39" s="341"/>
      <c r="F39" s="70" t="s">
        <v>44</v>
      </c>
      <c r="G39" s="56"/>
      <c r="H39" s="332"/>
      <c r="I39" s="90"/>
      <c r="J39" s="140" t="s">
        <v>276</v>
      </c>
      <c r="K39" s="349"/>
      <c r="L39" s="70" t="s">
        <v>44</v>
      </c>
      <c r="M39" s="79"/>
      <c r="N39" s="392" t="str">
        <f>IF(M33="★","ください。","")</f>
        <v>ください。</v>
      </c>
      <c r="P39" s="91"/>
    </row>
    <row r="40" spans="1:18" s="76" customFormat="1" ht="12.95" customHeight="1" thickBot="1">
      <c r="A40" s="137" t="s">
        <v>274</v>
      </c>
      <c r="B40" s="579" t="str">
        <f>IF(計算シート!C69=0,"","申込者本人は")&amp;"ひとり親ですか"</f>
        <v>ひとり親ですか</v>
      </c>
      <c r="C40" s="580"/>
      <c r="D40" s="580"/>
      <c r="E40" s="63"/>
      <c r="F40" s="41" t="s">
        <v>758</v>
      </c>
      <c r="G40" s="333"/>
      <c r="H40" s="334"/>
      <c r="I40" s="329"/>
      <c r="J40" s="141"/>
      <c r="K40" s="99"/>
      <c r="L40" s="105"/>
      <c r="M40" s="104"/>
      <c r="N40" s="392"/>
      <c r="P40" s="91"/>
    </row>
    <row r="41" spans="1:18" s="123" customFormat="1" ht="3" customHeight="1" thickTop="1" thickBot="1">
      <c r="A41" s="117"/>
      <c r="B41" s="118"/>
      <c r="C41" s="118"/>
      <c r="D41" s="118"/>
      <c r="E41" s="119"/>
      <c r="F41" s="118"/>
      <c r="G41" s="118"/>
      <c r="H41" s="118"/>
      <c r="I41" s="120"/>
      <c r="J41" s="130"/>
      <c r="K41" s="119"/>
      <c r="L41" s="121"/>
      <c r="M41" s="118"/>
      <c r="N41" s="404"/>
      <c r="P41" s="122"/>
    </row>
    <row r="42" spans="1:18" s="76" customFormat="1" ht="15.6" customHeight="1" thickTop="1" thickBot="1">
      <c r="A42" s="64" t="str">
        <f>IF(計算シート!C69=0,"生計維持者の","")&amp;"収入・所得の情報"</f>
        <v>生計維持者の収入・所得の情報</v>
      </c>
      <c r="B42" s="338"/>
      <c r="C42" s="338"/>
      <c r="D42" s="338"/>
      <c r="E42" s="339"/>
      <c r="F42" s="56"/>
      <c r="G42" s="56"/>
      <c r="H42" s="56"/>
      <c r="I42" s="90"/>
      <c r="J42" s="129"/>
      <c r="K42" s="57"/>
      <c r="L42" s="103" t="str">
        <f>IF(L33="生計維持者１の配偶者","(配偶者の収入・所得の情報）","")</f>
        <v/>
      </c>
      <c r="M42" s="75"/>
      <c r="N42" s="392" t="str">
        <f>IF(M33="★","扶養の情報は、","")</f>
        <v>扶養の情報は、</v>
      </c>
      <c r="P42" s="91"/>
    </row>
    <row r="43" spans="1:18" s="76" customFormat="1" ht="12.95" customHeight="1" thickBot="1">
      <c r="A43" s="135" t="s">
        <v>277</v>
      </c>
      <c r="B43" s="589" t="s">
        <v>217</v>
      </c>
      <c r="C43" s="590"/>
      <c r="D43" s="591"/>
      <c r="E43" s="44"/>
      <c r="F43" s="54" t="s">
        <v>49</v>
      </c>
      <c r="G43" s="56"/>
      <c r="H43" s="335"/>
      <c r="I43" s="90"/>
      <c r="J43" s="138" t="s">
        <v>283</v>
      </c>
      <c r="K43" s="57"/>
      <c r="L43" s="54" t="s">
        <v>49</v>
      </c>
      <c r="M43" s="79"/>
      <c r="N43" s="392" t="str">
        <f>IF(M33="★","1/1時点で日本","")</f>
        <v>1/1時点で日本</v>
      </c>
      <c r="P43" s="91"/>
    </row>
    <row r="44" spans="1:18" s="76" customFormat="1" ht="12.95" customHeight="1" thickBot="1">
      <c r="A44" s="136" t="s">
        <v>278</v>
      </c>
      <c r="B44" s="583" t="s">
        <v>219</v>
      </c>
      <c r="C44" s="584"/>
      <c r="D44" s="584"/>
      <c r="E44" s="340"/>
      <c r="F44" s="159">
        <v>0</v>
      </c>
      <c r="G44" s="76" t="str">
        <f>MID(F43,SEARCH("(",F43)+1,3)</f>
        <v>JPY</v>
      </c>
      <c r="H44" s="336"/>
      <c r="I44" s="90"/>
      <c r="J44" s="140" t="s">
        <v>284</v>
      </c>
      <c r="K44" s="57"/>
      <c r="L44" s="159">
        <v>0</v>
      </c>
      <c r="M44" s="78" t="str">
        <f>MID(L43,SEARCH("(",L43)+1,3)</f>
        <v>JPY</v>
      </c>
      <c r="N44" s="405" t="str">
        <f>IF(M33="★","国内に居住して","")</f>
        <v>国内に居住して</v>
      </c>
      <c r="P44" s="91"/>
    </row>
    <row r="45" spans="1:18" s="76" customFormat="1" ht="12.95" customHeight="1" thickBot="1">
      <c r="A45" s="136" t="s">
        <v>279</v>
      </c>
      <c r="B45" s="583" t="s">
        <v>218</v>
      </c>
      <c r="C45" s="584"/>
      <c r="D45" s="584"/>
      <c r="E45" s="340"/>
      <c r="F45" s="54" t="s">
        <v>49</v>
      </c>
      <c r="G45" s="56"/>
      <c r="H45" s="335"/>
      <c r="I45" s="90"/>
      <c r="J45" s="140" t="s">
        <v>285</v>
      </c>
      <c r="K45" s="57"/>
      <c r="L45" s="54" t="s">
        <v>49</v>
      </c>
      <c r="M45" s="79"/>
      <c r="N45" s="405" t="str">
        <f>IF(M33="★","いた者は課税証","")</f>
        <v>いた者は課税証</v>
      </c>
      <c r="P45" s="91"/>
    </row>
    <row r="46" spans="1:18" s="76" customFormat="1" ht="12.95" customHeight="1" thickBot="1">
      <c r="A46" s="136" t="s">
        <v>280</v>
      </c>
      <c r="B46" s="585" t="s">
        <v>220</v>
      </c>
      <c r="C46" s="586"/>
      <c r="D46" s="586"/>
      <c r="E46" s="44"/>
      <c r="F46" s="159">
        <v>0</v>
      </c>
      <c r="G46" s="76" t="str">
        <f>MID(F45,SEARCH("(",F45)+1,3)</f>
        <v>JPY</v>
      </c>
      <c r="H46" s="336"/>
      <c r="I46" s="90"/>
      <c r="J46" s="140" t="s">
        <v>286</v>
      </c>
      <c r="K46" s="57"/>
      <c r="L46" s="159">
        <v>0</v>
      </c>
      <c r="M46" s="97" t="str">
        <f>MID(L45,SEARCH("(",L45)+1,3)</f>
        <v>JPY</v>
      </c>
      <c r="N46" s="405" t="str">
        <f>IF(M33="★","明書の扶養親族","")</f>
        <v>明書の扶養親族</v>
      </c>
      <c r="P46" s="91"/>
    </row>
    <row r="47" spans="1:18" s="76" customFormat="1" ht="12.95" customHeight="1" thickBot="1">
      <c r="A47" s="136" t="s">
        <v>281</v>
      </c>
      <c r="B47" s="42" t="s">
        <v>248</v>
      </c>
      <c r="C47" s="298"/>
      <c r="D47" s="298"/>
      <c r="E47" s="343"/>
      <c r="F47" s="54" t="s">
        <v>49</v>
      </c>
      <c r="G47" s="56"/>
      <c r="H47" s="335"/>
      <c r="I47" s="90"/>
      <c r="J47" s="140" t="s">
        <v>287</v>
      </c>
      <c r="K47" s="57"/>
      <c r="L47" s="54" t="s">
        <v>49</v>
      </c>
      <c r="M47" s="98"/>
      <c r="N47" s="405" t="str">
        <f>IF(M33="★","の数を入力して","")</f>
        <v>の数を入力して</v>
      </c>
      <c r="P47" s="91"/>
    </row>
    <row r="48" spans="1:18" s="76" customFormat="1" ht="12.95" customHeight="1" thickBot="1">
      <c r="A48" s="137" t="s">
        <v>282</v>
      </c>
      <c r="B48" s="342" t="s">
        <v>249</v>
      </c>
      <c r="C48" s="346"/>
      <c r="D48" s="347"/>
      <c r="E48" s="348"/>
      <c r="F48" s="159">
        <v>0</v>
      </c>
      <c r="G48" s="327" t="str">
        <f>MID(F47,SEARCH("(",F47)+1,3)</f>
        <v>JPY</v>
      </c>
      <c r="H48" s="337"/>
      <c r="I48" s="329"/>
      <c r="J48" s="142" t="s">
        <v>288</v>
      </c>
      <c r="K48" s="95"/>
      <c r="L48" s="159">
        <v>0</v>
      </c>
      <c r="M48" s="85" t="str">
        <f>MID(L47,SEARCH("(",L47)+1,3)</f>
        <v>JPY</v>
      </c>
      <c r="N48" s="405" t="str">
        <f>IF(M33="★","ください(下欄)。","")</f>
        <v>ください(下欄)。</v>
      </c>
      <c r="P48" s="91"/>
    </row>
    <row r="49" spans="1:16" s="76" customFormat="1" ht="3" customHeight="1" thickTop="1" thickBot="1">
      <c r="A49" s="131"/>
      <c r="B49" s="59"/>
      <c r="C49" s="59"/>
      <c r="D49" s="59"/>
      <c r="E49" s="65"/>
      <c r="F49" s="59"/>
      <c r="G49" s="96"/>
      <c r="H49" s="59"/>
      <c r="I49" s="96"/>
      <c r="J49" s="131"/>
      <c r="K49" s="65"/>
      <c r="L49" s="59"/>
      <c r="M49" s="59"/>
      <c r="N49" s="59"/>
      <c r="O49" s="59"/>
      <c r="P49" s="91"/>
    </row>
    <row r="50" spans="1:16" s="76" customFormat="1" ht="15.6" customHeight="1" thickTop="1" thickBot="1">
      <c r="A50" s="324" t="str">
        <f>IF(計算シート!C69=0,"生計維持者の","")&amp;"扶養の情報（本人や他の生計維持者、配偶者は含めないでください）"</f>
        <v>生計維持者の扶養の情報（本人や他の生計維持者、配偶者は含めないでください）</v>
      </c>
      <c r="B50" s="344"/>
      <c r="C50" s="344"/>
      <c r="D50" s="344"/>
      <c r="E50" s="344"/>
      <c r="F50" s="325"/>
      <c r="G50" s="90"/>
      <c r="H50" s="407"/>
      <c r="I50" s="90"/>
      <c r="J50" s="129"/>
      <c r="K50" s="57"/>
      <c r="L50" s="103" t="str">
        <f>IF(L33="生計維持者１の配偶者","(配偶者の扶養の情報）","")</f>
        <v/>
      </c>
      <c r="M50" s="151"/>
      <c r="N50" s="103"/>
      <c r="O50" s="75"/>
      <c r="P50" s="91"/>
    </row>
    <row r="51" spans="1:16" s="76" customFormat="1" ht="12.95" customHeight="1" thickBot="1">
      <c r="A51" s="136" t="s">
        <v>289</v>
      </c>
      <c r="B51" s="563" t="s">
        <v>0</v>
      </c>
      <c r="C51" s="564"/>
      <c r="D51" s="564"/>
      <c r="E51" s="340"/>
      <c r="F51" s="40">
        <v>0</v>
      </c>
      <c r="G51" s="328" t="s">
        <v>48</v>
      </c>
      <c r="H51" s="408"/>
      <c r="I51" s="90"/>
      <c r="J51" s="138" t="s">
        <v>949</v>
      </c>
      <c r="K51" s="57"/>
      <c r="L51" s="40">
        <v>0</v>
      </c>
      <c r="M51" s="328" t="s">
        <v>48</v>
      </c>
      <c r="N51" s="408"/>
      <c r="O51" s="79"/>
      <c r="P51" s="91"/>
    </row>
    <row r="52" spans="1:16" s="76" customFormat="1" ht="12.95" customHeight="1" thickBot="1">
      <c r="A52" s="136" t="s">
        <v>290</v>
      </c>
      <c r="B52" s="563" t="s">
        <v>1</v>
      </c>
      <c r="C52" s="564"/>
      <c r="D52" s="564"/>
      <c r="E52" s="340"/>
      <c r="F52" s="40">
        <v>0</v>
      </c>
      <c r="G52" s="326" t="s">
        <v>48</v>
      </c>
      <c r="H52" s="377" t="str">
        <f>"うち"&amp;IF(計算シート!C69=0,"生計維","申込者")</f>
        <v>うち生計維</v>
      </c>
      <c r="I52" s="90"/>
      <c r="J52" s="140" t="s">
        <v>950</v>
      </c>
      <c r="K52" s="57"/>
      <c r="L52" s="40">
        <v>0</v>
      </c>
      <c r="M52" s="326" t="s">
        <v>48</v>
      </c>
      <c r="N52" s="406" t="str">
        <f>"うち★の"</f>
        <v>うち★の</v>
      </c>
      <c r="O52" s="79"/>
      <c r="P52" s="91"/>
    </row>
    <row r="53" spans="1:16" s="76" customFormat="1" ht="12.95" customHeight="1" thickBot="1">
      <c r="A53" s="136" t="s">
        <v>291</v>
      </c>
      <c r="B53" s="563" t="s">
        <v>2</v>
      </c>
      <c r="C53" s="564"/>
      <c r="D53" s="564"/>
      <c r="E53" s="340"/>
      <c r="F53" s="40">
        <v>0</v>
      </c>
      <c r="G53" s="326" t="s">
        <v>48</v>
      </c>
      <c r="H53" s="378" t="str">
        <f>IF(計算シート!C69=0,"持者１より","本人より")</f>
        <v>持者１より</v>
      </c>
      <c r="I53" s="90"/>
      <c r="J53" s="140" t="s">
        <v>951</v>
      </c>
      <c r="K53" s="57"/>
      <c r="L53" s="40">
        <v>0</v>
      </c>
      <c r="M53" s="326" t="s">
        <v>48</v>
      </c>
      <c r="N53" s="352" t="str">
        <f>"者より"</f>
        <v>者より</v>
      </c>
      <c r="O53" s="79"/>
      <c r="P53" s="91"/>
    </row>
    <row r="54" spans="1:16" s="76" customFormat="1" ht="12.95" customHeight="1" thickBot="1">
      <c r="A54" s="136" t="s">
        <v>942</v>
      </c>
      <c r="B54" s="594" t="s">
        <v>941</v>
      </c>
      <c r="C54" s="595"/>
      <c r="D54" s="596"/>
      <c r="E54" s="340"/>
      <c r="F54" s="40">
        <v>0</v>
      </c>
      <c r="G54" s="326" t="s">
        <v>48</v>
      </c>
      <c r="H54" s="378" t="s">
        <v>766</v>
      </c>
      <c r="I54" s="90"/>
      <c r="J54" s="140" t="s">
        <v>952</v>
      </c>
      <c r="K54" s="57"/>
      <c r="L54" s="40">
        <v>0</v>
      </c>
      <c r="M54" s="326" t="s">
        <v>48</v>
      </c>
      <c r="N54" s="411" t="s">
        <v>766</v>
      </c>
      <c r="O54" s="79"/>
      <c r="P54" s="91"/>
    </row>
    <row r="55" spans="1:16" s="76" customFormat="1" ht="12.95" customHeight="1" thickBot="1">
      <c r="A55" s="136" t="s">
        <v>943</v>
      </c>
      <c r="B55" s="563" t="s">
        <v>3</v>
      </c>
      <c r="C55" s="564"/>
      <c r="D55" s="564"/>
      <c r="E55" s="340"/>
      <c r="F55" s="40">
        <v>0</v>
      </c>
      <c r="G55" s="409" t="s">
        <v>48</v>
      </c>
      <c r="H55" s="40">
        <v>0</v>
      </c>
      <c r="I55" s="410" t="s">
        <v>48</v>
      </c>
      <c r="J55" s="140" t="s">
        <v>953</v>
      </c>
      <c r="K55" s="57"/>
      <c r="L55" s="40">
        <v>0</v>
      </c>
      <c r="M55" s="409" t="s">
        <v>48</v>
      </c>
      <c r="N55" s="40">
        <v>0</v>
      </c>
      <c r="O55" s="97" t="s">
        <v>48</v>
      </c>
      <c r="P55" s="91"/>
    </row>
    <row r="56" spans="1:16" s="76" customFormat="1" ht="12.95" customHeight="1" thickBot="1">
      <c r="A56" s="136" t="s">
        <v>944</v>
      </c>
      <c r="B56" s="563" t="s">
        <v>4</v>
      </c>
      <c r="C56" s="564"/>
      <c r="D56" s="564"/>
      <c r="E56" s="340"/>
      <c r="F56" s="40">
        <v>0</v>
      </c>
      <c r="G56" s="328" t="s">
        <v>48</v>
      </c>
      <c r="H56" s="592" t="s">
        <v>900</v>
      </c>
      <c r="I56" s="603"/>
      <c r="J56" s="140" t="s">
        <v>954</v>
      </c>
      <c r="K56" s="57"/>
      <c r="L56" s="40">
        <v>0</v>
      </c>
      <c r="M56" s="328" t="s">
        <v>48</v>
      </c>
      <c r="N56" s="592" t="str">
        <f>IF(F36="はい","(項番43の内数)","")</f>
        <v>(項番43の内数)</v>
      </c>
      <c r="O56" s="593"/>
      <c r="P56" s="91"/>
    </row>
    <row r="57" spans="1:16" s="76" customFormat="1" ht="12.95" customHeight="1" thickBot="1">
      <c r="A57" s="136" t="s">
        <v>945</v>
      </c>
      <c r="B57" s="563" t="s">
        <v>5</v>
      </c>
      <c r="C57" s="564"/>
      <c r="D57" s="564"/>
      <c r="E57" s="340"/>
      <c r="F57" s="40">
        <v>0</v>
      </c>
      <c r="G57" s="328" t="s">
        <v>48</v>
      </c>
      <c r="H57" s="92"/>
      <c r="I57" s="90"/>
      <c r="J57" s="140" t="s">
        <v>955</v>
      </c>
      <c r="K57" s="57"/>
      <c r="L57" s="40">
        <v>0</v>
      </c>
      <c r="M57" s="76" t="s">
        <v>48</v>
      </c>
      <c r="N57" s="92"/>
      <c r="O57" s="79"/>
      <c r="P57" s="91"/>
    </row>
    <row r="58" spans="1:16" s="76" customFormat="1" ht="12.95" customHeight="1" thickBot="1">
      <c r="A58" s="136" t="s">
        <v>946</v>
      </c>
      <c r="B58" s="563" t="s">
        <v>244</v>
      </c>
      <c r="C58" s="564"/>
      <c r="D58" s="564"/>
      <c r="E58" s="340"/>
      <c r="F58" s="40">
        <v>0</v>
      </c>
      <c r="G58" s="328" t="s">
        <v>48</v>
      </c>
      <c r="H58" s="92"/>
      <c r="I58" s="90"/>
      <c r="J58" s="140" t="s">
        <v>956</v>
      </c>
      <c r="K58" s="57"/>
      <c r="L58" s="40">
        <v>0</v>
      </c>
      <c r="M58" s="76" t="s">
        <v>48</v>
      </c>
      <c r="N58" s="92"/>
      <c r="O58" s="79"/>
      <c r="P58" s="91"/>
    </row>
    <row r="59" spans="1:16" s="76" customFormat="1" ht="12.95" customHeight="1" thickBot="1">
      <c r="A59" s="136" t="s">
        <v>947</v>
      </c>
      <c r="B59" s="563" t="s">
        <v>245</v>
      </c>
      <c r="C59" s="564"/>
      <c r="D59" s="564"/>
      <c r="E59" s="345"/>
      <c r="F59" s="40">
        <v>0</v>
      </c>
      <c r="G59" s="328" t="s">
        <v>48</v>
      </c>
      <c r="H59" s="92"/>
      <c r="I59" s="90"/>
      <c r="J59" s="140" t="s">
        <v>307</v>
      </c>
      <c r="K59" s="57"/>
      <c r="L59" s="40">
        <v>0</v>
      </c>
      <c r="M59" s="76" t="s">
        <v>48</v>
      </c>
      <c r="N59" s="92"/>
      <c r="O59" s="79"/>
      <c r="P59" s="91"/>
    </row>
    <row r="60" spans="1:16" s="76" customFormat="1" ht="12.95" customHeight="1" thickBot="1">
      <c r="A60" s="137" t="s">
        <v>948</v>
      </c>
      <c r="B60" s="579" t="s">
        <v>246</v>
      </c>
      <c r="C60" s="580"/>
      <c r="D60" s="580"/>
      <c r="E60" s="63"/>
      <c r="F60" s="40">
        <v>0</v>
      </c>
      <c r="G60" s="327" t="s">
        <v>48</v>
      </c>
      <c r="H60" s="330"/>
      <c r="I60" s="329"/>
      <c r="J60" s="143" t="s">
        <v>957</v>
      </c>
      <c r="K60" s="95"/>
      <c r="L60" s="40">
        <v>0</v>
      </c>
      <c r="M60" s="327" t="s">
        <v>48</v>
      </c>
      <c r="N60" s="330"/>
      <c r="O60" s="104"/>
      <c r="P60" s="91"/>
    </row>
    <row r="61" spans="1:16" ht="3" customHeight="1" thickTop="1">
      <c r="E61" s="47"/>
      <c r="F61" s="48"/>
      <c r="G61" s="49"/>
      <c r="H61" s="48"/>
      <c r="I61" s="49"/>
      <c r="K61" s="47"/>
      <c r="L61" s="50"/>
      <c r="M61" s="50"/>
      <c r="N61" s="50"/>
      <c r="O61" s="50"/>
      <c r="P61" s="49"/>
    </row>
    <row r="62" spans="1:16" ht="3.75" customHeight="1"/>
    <row r="63" spans="1:16">
      <c r="B63" t="s">
        <v>252</v>
      </c>
    </row>
    <row r="64" spans="1:16">
      <c r="B64" s="73" t="str">
        <f>"１　"&amp;IF(計算シート!C69=0,"全ての生計維持者","本人及び配偶者")&amp;"の情報を入力したうえで印刷し、収入等の証明書類（和訳付）を添付してください。国内外を問わず扶養親族がいる場合、"</f>
        <v>１　全ての生計維持者の情報を入力したうえで印刷し、収入等の証明書類（和訳付）を添付してください。国内外を問わず扶養親族がいる場合、</v>
      </c>
      <c r="C64" s="73"/>
      <c r="D64" s="73"/>
      <c r="E64" s="73"/>
      <c r="F64" s="73"/>
    </row>
    <row r="65" spans="1:18">
      <c r="B65" s="74" t="str">
        <f>"　"&amp;IF(計算シート!C69=0,"生計維持","扶養")&amp;"者との関係を明らかにする書類も必要です。国内に居住している"&amp;IF(計算シート!C69=0,"生計維持者","本人又は配偶者")&amp;"については、マイナンバーを提出してください。"</f>
        <v>　生計維持者との関係を明らかにする書類も必要です。国内に居住している生計維持者については、マイナンバーを提出してください。</v>
      </c>
      <c r="C65" s="74"/>
      <c r="D65" s="74"/>
      <c r="E65" s="74"/>
      <c r="F65" s="74"/>
    </row>
    <row r="66" spans="1:18">
      <c r="B66" s="74" t="str">
        <f>"２　選択肢に存在する通貨のレートは、日本銀行が報告する"&amp;YEAR(計算シート!C47)&amp;"年１月分の報告省令レートに基づき当機構が換算します。"</f>
        <v>２　選択肢に存在する通貨のレートは、日本銀行が報告する2026年１月分の報告省令レートに基づき当機構が換算します。</v>
      </c>
      <c r="C66" s="74"/>
      <c r="D66" s="74"/>
      <c r="E66" s="74"/>
      <c r="F66" s="74"/>
    </row>
    <row r="67" spans="1:18">
      <c r="B67" s="74" t="str">
        <f>"　選択肢に存在しない通貨については、入力時に米ドルに換算（"&amp;YEAR(計算シート!C47)&amp;"年1月1日時点のレート）して、米ドルを選択して入力してください。"</f>
        <v>　選択肢に存在しない通貨については、入力時に米ドルに換算（2026年1月1日時点のレート）して、米ドルを選択して入力してください。</v>
      </c>
      <c r="C67" s="74"/>
      <c r="D67" s="74"/>
      <c r="E67" s="74"/>
      <c r="F67" s="74"/>
    </row>
    <row r="68" spans="1:18">
      <c r="B68" s="74" t="s">
        <v>355</v>
      </c>
      <c r="C68" s="74"/>
      <c r="D68" s="74"/>
      <c r="E68" s="74"/>
      <c r="F68" s="74"/>
    </row>
    <row r="69" spans="1:18" ht="10.5" customHeight="1">
      <c r="B69" s="74" t="s">
        <v>247</v>
      </c>
      <c r="C69" s="74"/>
      <c r="D69" s="74"/>
      <c r="E69" s="74"/>
      <c r="F69" s="74"/>
    </row>
    <row r="70" spans="1:18" ht="13.5" customHeight="1">
      <c r="A70" s="39"/>
      <c r="B70" s="274" t="str">
        <f>"　また、「扶養親族」とは、"&amp;IF(計算シート!C69=0,"生計維持者","扶養者")&amp;"の配偶者でない６親等内の血族又は３親等内の姻族で、他者の扶養親族になっておらず、合計所得金額が"</f>
        <v>　また、「扶養親族」とは、生計維持者の配偶者でない６親等内の血族又は３親等内の姻族で、他者の扶養親族になっておらず、合計所得金額が</v>
      </c>
      <c r="C70" s="274"/>
      <c r="D70" s="274"/>
      <c r="E70" s="274"/>
      <c r="F70" s="274"/>
      <c r="G70" s="39"/>
      <c r="H70" s="39"/>
      <c r="I70" s="39"/>
      <c r="J70" s="39"/>
      <c r="K70" s="39"/>
      <c r="L70" s="39"/>
      <c r="M70" s="39"/>
      <c r="N70" s="39"/>
      <c r="O70" s="39"/>
      <c r="P70" s="39"/>
      <c r="Q70" s="39"/>
    </row>
    <row r="71" spans="1:18" ht="13.5" customHeight="1">
      <c r="A71" s="39"/>
      <c r="B71" s="274" t="str">
        <f>"　"&amp;IF(計算シート!C51=1,58,48)&amp;"万円以下の、"&amp;IF(計算シート!C69=0,"生計維持者","扶養者")&amp;"と生計を一にしている者（別住所でも可）をいいます。"&amp;IF(計算シート!C51=1,"「特定親族」については「記入例と注意事項」を参照してください。","")</f>
        <v>　58万円以下の、生計維持者と生計を一にしている者（別住所でも可）をいいます。「特定親族」については「記入例と注意事項」を参照してください。</v>
      </c>
      <c r="C71" s="274"/>
      <c r="D71" s="274"/>
      <c r="E71" s="274"/>
      <c r="F71" s="274"/>
      <c r="G71" s="39"/>
      <c r="H71" s="39"/>
      <c r="I71" s="39"/>
      <c r="J71" s="39"/>
      <c r="K71" s="39"/>
      <c r="L71" s="39"/>
      <c r="M71" s="39"/>
      <c r="N71" s="39"/>
      <c r="O71" s="39"/>
      <c r="P71" s="39"/>
      <c r="Q71" s="39"/>
    </row>
    <row r="72" spans="1:18" ht="13.5" customHeight="1">
      <c r="A72" s="384"/>
      <c r="B72" s="158" t="s">
        <v>356</v>
      </c>
      <c r="C72" s="158"/>
      <c r="D72" s="158"/>
      <c r="E72" s="158"/>
      <c r="F72" s="158"/>
      <c r="G72" s="384"/>
      <c r="H72" s="384"/>
      <c r="I72" s="384"/>
      <c r="J72" s="384"/>
      <c r="K72" s="384"/>
      <c r="L72" s="384"/>
      <c r="M72" s="384"/>
      <c r="N72" s="384"/>
      <c r="O72" s="384"/>
      <c r="P72" s="384"/>
      <c r="Q72" s="384"/>
    </row>
    <row r="73" spans="1:18">
      <c r="A73" s="39"/>
      <c r="B73" s="39" t="s">
        <v>243</v>
      </c>
      <c r="C73" s="39"/>
      <c r="D73" s="39"/>
      <c r="E73" s="39"/>
      <c r="F73" s="527"/>
      <c r="G73" s="39"/>
      <c r="H73" s="39"/>
      <c r="I73" s="39"/>
      <c r="J73" s="39"/>
      <c r="K73" s="39"/>
      <c r="L73" s="39"/>
      <c r="M73" s="39"/>
      <c r="N73" s="39"/>
      <c r="O73" s="39"/>
      <c r="P73" s="39"/>
      <c r="Q73" s="39"/>
    </row>
    <row r="74" spans="1:18" ht="10.5" customHeight="1">
      <c r="A74" s="281"/>
      <c r="B74" s="528" t="s">
        <v>914</v>
      </c>
      <c r="C74" s="529">
        <f>計算シート!B35</f>
        <v>0</v>
      </c>
      <c r="D74" s="530"/>
      <c r="E74" s="291"/>
      <c r="F74" s="531"/>
      <c r="G74" s="532" t="s">
        <v>770</v>
      </c>
      <c r="H74" s="387">
        <f>IF(計算シート!C64=0,"-",計算シート!C66)</f>
        <v>1</v>
      </c>
      <c r="I74" s="601" t="s">
        <v>772</v>
      </c>
      <c r="J74" s="602"/>
      <c r="K74" s="533">
        <f>IF(計算シート!C64=0,"-",計算シート!C68)</f>
        <v>0</v>
      </c>
      <c r="L74" s="274"/>
      <c r="M74" s="274"/>
      <c r="N74" s="274"/>
      <c r="O74" s="274"/>
      <c r="P74" s="39"/>
      <c r="Q74" s="39"/>
    </row>
    <row r="75" spans="1:18" ht="10.5" customHeight="1">
      <c r="A75" s="281"/>
      <c r="B75" s="282" t="s">
        <v>915</v>
      </c>
      <c r="C75" s="534">
        <f>計算シート!C62</f>
        <v>0</v>
      </c>
      <c r="D75" s="535">
        <f>計算シート!D62</f>
        <v>0</v>
      </c>
      <c r="E75" s="536"/>
      <c r="F75" s="537"/>
      <c r="G75" s="386" t="s">
        <v>771</v>
      </c>
      <c r="H75" s="388">
        <f>計算シート!C67</f>
        <v>1</v>
      </c>
      <c r="I75" s="274"/>
      <c r="J75" s="274"/>
      <c r="K75" s="274"/>
      <c r="L75" s="538"/>
      <c r="M75" s="538"/>
      <c r="N75" s="538"/>
      <c r="O75" s="274"/>
      <c r="P75" s="39"/>
      <c r="Q75" s="39"/>
    </row>
    <row r="76" spans="1:18" ht="10.5" customHeight="1">
      <c r="A76" s="39"/>
      <c r="B76" s="539" t="s">
        <v>916</v>
      </c>
      <c r="C76" s="540">
        <f>IF(計算シート!C64=0,計算シート!C42,計算シート!C63)</f>
        <v>0</v>
      </c>
      <c r="D76" s="541">
        <f>IF(計算シート!C64=0,計算シート!D42,計算シート!D63)</f>
        <v>0</v>
      </c>
      <c r="E76" s="542"/>
      <c r="F76" s="538"/>
      <c r="G76" s="543"/>
      <c r="H76" s="39"/>
      <c r="I76" s="274"/>
      <c r="J76" s="274"/>
      <c r="K76" s="274"/>
      <c r="L76" s="39"/>
      <c r="M76" s="538"/>
      <c r="N76" s="538"/>
      <c r="O76" s="274"/>
      <c r="P76" s="39"/>
      <c r="Q76" s="544"/>
      <c r="R76" s="76"/>
    </row>
    <row r="77" spans="1:18" ht="10.5" hidden="1" customHeight="1">
      <c r="A77" s="39"/>
      <c r="B77" s="282" t="s">
        <v>338</v>
      </c>
      <c r="C77" s="284" t="str">
        <f>IF(計算シート!C64=0,計算シート!C43,"-")</f>
        <v>-</v>
      </c>
      <c r="D77" s="545" t="str">
        <f>IF(計算シート!C64=0,計算シート!D43,"-")</f>
        <v>-</v>
      </c>
      <c r="E77" s="283"/>
      <c r="F77" s="284"/>
      <c r="G77" s="39"/>
      <c r="H77" s="284"/>
      <c r="I77" s="274"/>
      <c r="J77" s="274"/>
      <c r="K77" s="274"/>
      <c r="L77" s="39"/>
      <c r="M77" s="538"/>
      <c r="N77" s="538"/>
      <c r="O77" s="274"/>
      <c r="P77" s="39"/>
      <c r="Q77" s="39"/>
      <c r="R77" s="76" t="s">
        <v>896</v>
      </c>
    </row>
    <row r="78" spans="1:18">
      <c r="A78" s="597" t="s">
        <v>958</v>
      </c>
      <c r="B78" s="597"/>
      <c r="C78" s="597"/>
      <c r="D78" s="597"/>
      <c r="E78" s="597"/>
      <c r="F78" s="597"/>
      <c r="G78" s="597"/>
      <c r="H78" s="597"/>
      <c r="I78" s="597"/>
      <c r="J78" s="597"/>
      <c r="K78" s="597"/>
      <c r="L78" s="597"/>
      <c r="M78" s="597"/>
      <c r="N78" s="597"/>
      <c r="O78" s="597"/>
      <c r="P78" s="39"/>
      <c r="Q78" s="39"/>
    </row>
    <row r="79" spans="1:18">
      <c r="A79" s="39"/>
      <c r="B79" s="403" t="s">
        <v>1086</v>
      </c>
      <c r="C79" s="39"/>
      <c r="D79" s="39"/>
      <c r="E79" s="39"/>
      <c r="F79" s="39"/>
      <c r="G79" s="39"/>
      <c r="H79" s="39"/>
      <c r="I79" s="39"/>
      <c r="J79" s="39"/>
      <c r="K79" s="39"/>
      <c r="L79" s="39"/>
      <c r="M79" s="39"/>
      <c r="N79" s="39"/>
      <c r="O79" s="39"/>
      <c r="P79" s="39"/>
      <c r="Q79" s="39"/>
    </row>
    <row r="80" spans="1:18">
      <c r="A80" s="39"/>
      <c r="B80" s="403" t="s">
        <v>1087</v>
      </c>
      <c r="C80" s="39"/>
      <c r="D80" s="39"/>
      <c r="E80" s="39"/>
      <c r="F80" s="39"/>
      <c r="G80" s="39"/>
      <c r="H80" s="39"/>
      <c r="I80" s="39"/>
      <c r="J80" s="39"/>
      <c r="K80" s="39"/>
      <c r="L80" s="39"/>
      <c r="M80" s="39"/>
      <c r="N80" s="39"/>
      <c r="O80" s="39"/>
      <c r="P80" s="39"/>
      <c r="Q80" s="39"/>
    </row>
    <row r="81" spans="1:17" ht="14.25" thickBot="1">
      <c r="A81" s="413"/>
      <c r="B81" s="412" t="str">
        <f>$F$33&amp;"の特定親族（１人目）"</f>
        <v>生計維持者１の特定親族（１人目）</v>
      </c>
      <c r="C81" s="413"/>
      <c r="D81" s="413"/>
      <c r="E81" s="413"/>
      <c r="F81" s="413"/>
      <c r="G81" s="413"/>
      <c r="H81" s="413"/>
      <c r="I81" s="412" t="str">
        <f>$L$33&amp;"の特定親族（１人目）"</f>
        <v>生計維持者２の特定親族（１人目）</v>
      </c>
      <c r="J81" s="413"/>
      <c r="K81" s="413"/>
      <c r="L81" s="412"/>
      <c r="M81" s="413"/>
      <c r="N81" s="413"/>
      <c r="O81" s="413"/>
      <c r="P81" s="413"/>
      <c r="Q81" s="413"/>
    </row>
    <row r="82" spans="1:17" ht="14.25" thickBot="1">
      <c r="A82" s="412"/>
      <c r="B82" s="598" t="s">
        <v>217</v>
      </c>
      <c r="C82" s="599"/>
      <c r="D82" s="600"/>
      <c r="E82" s="414"/>
      <c r="F82" s="415" t="s">
        <v>49</v>
      </c>
      <c r="G82" s="412"/>
      <c r="H82" s="412"/>
      <c r="I82" s="412"/>
      <c r="J82" s="412"/>
      <c r="K82" s="412"/>
      <c r="L82" s="415" t="s">
        <v>49</v>
      </c>
      <c r="M82" s="412"/>
      <c r="N82" s="413"/>
      <c r="O82" s="413"/>
      <c r="P82" s="413"/>
      <c r="Q82" s="413"/>
    </row>
    <row r="83" spans="1:17" ht="14.25" thickBot="1">
      <c r="A83" s="412"/>
      <c r="B83" s="598" t="s">
        <v>219</v>
      </c>
      <c r="C83" s="599"/>
      <c r="D83" s="600"/>
      <c r="E83" s="416"/>
      <c r="F83" s="417">
        <v>0</v>
      </c>
      <c r="G83" s="412" t="str">
        <f>MID(F82,SEARCH("(",F82)+1,3)</f>
        <v>JPY</v>
      </c>
      <c r="H83" s="413"/>
      <c r="I83" s="413"/>
      <c r="J83" s="413"/>
      <c r="K83" s="413"/>
      <c r="L83" s="417">
        <v>0</v>
      </c>
      <c r="M83" s="412" t="s">
        <v>446</v>
      </c>
      <c r="N83" s="413"/>
      <c r="O83" s="413"/>
      <c r="P83" s="413"/>
      <c r="Q83" s="413"/>
    </row>
    <row r="84" spans="1:17" ht="14.25" thickBot="1">
      <c r="A84" s="412"/>
      <c r="B84" s="418" t="s">
        <v>959</v>
      </c>
      <c r="C84" s="419"/>
      <c r="D84" s="419"/>
      <c r="E84" s="420"/>
      <c r="F84" s="415" t="s">
        <v>49</v>
      </c>
      <c r="G84" s="412"/>
      <c r="H84" s="413"/>
      <c r="I84" s="413"/>
      <c r="J84" s="413"/>
      <c r="K84" s="413"/>
      <c r="L84" s="415" t="s">
        <v>49</v>
      </c>
      <c r="M84" s="421"/>
      <c r="N84" s="413"/>
      <c r="O84" s="413"/>
      <c r="P84" s="413"/>
      <c r="Q84" s="413"/>
    </row>
    <row r="85" spans="1:17" ht="14.25" thickBot="1">
      <c r="A85" s="412"/>
      <c r="B85" s="422" t="s">
        <v>960</v>
      </c>
      <c r="C85" s="416"/>
      <c r="D85" s="423"/>
      <c r="E85" s="420"/>
      <c r="F85" s="417">
        <v>0</v>
      </c>
      <c r="G85" s="412" t="str">
        <f>MID(F84,SEARCH("(",F84)+1,3)</f>
        <v>JPY</v>
      </c>
      <c r="H85" s="413"/>
      <c r="I85" s="413"/>
      <c r="J85" s="413"/>
      <c r="K85" s="413"/>
      <c r="L85" s="417">
        <v>0</v>
      </c>
      <c r="M85" s="421" t="s">
        <v>446</v>
      </c>
      <c r="N85" s="413"/>
      <c r="O85" s="413"/>
      <c r="P85" s="413"/>
      <c r="Q85" s="413"/>
    </row>
    <row r="86" spans="1:17">
      <c r="A86" s="412"/>
      <c r="B86" s="413"/>
      <c r="C86" s="413"/>
      <c r="D86" s="413"/>
      <c r="E86" s="413"/>
      <c r="F86" s="413"/>
      <c r="G86" s="413"/>
      <c r="H86" s="413"/>
      <c r="I86" s="413"/>
      <c r="J86" s="413"/>
      <c r="K86" s="413"/>
      <c r="L86" s="413"/>
      <c r="M86" s="413"/>
      <c r="N86" s="413"/>
      <c r="O86" s="413"/>
      <c r="P86" s="413"/>
      <c r="Q86" s="413"/>
    </row>
    <row r="87" spans="1:17" ht="14.25" thickBot="1">
      <c r="A87" s="412"/>
      <c r="B87" s="412" t="str">
        <f>$F$33&amp;"の特定親族（２人目）"</f>
        <v>生計維持者１の特定親族（２人目）</v>
      </c>
      <c r="C87" s="413"/>
      <c r="D87" s="413"/>
      <c r="E87" s="413"/>
      <c r="F87" s="413"/>
      <c r="G87" s="413"/>
      <c r="H87" s="413"/>
      <c r="I87" s="412" t="str">
        <f>$L$33&amp;"の特定親族（２人目）"</f>
        <v>生計維持者２の特定親族（２人目）</v>
      </c>
      <c r="J87" s="413"/>
      <c r="K87" s="413"/>
      <c r="L87" s="412"/>
      <c r="M87" s="413"/>
      <c r="N87" s="413"/>
      <c r="O87" s="413"/>
      <c r="P87" s="413"/>
      <c r="Q87" s="413"/>
    </row>
    <row r="88" spans="1:17" ht="14.25" thickBot="1">
      <c r="A88" s="412"/>
      <c r="B88" s="598" t="s">
        <v>217</v>
      </c>
      <c r="C88" s="599"/>
      <c r="D88" s="600"/>
      <c r="E88" s="414"/>
      <c r="F88" s="415" t="s">
        <v>49</v>
      </c>
      <c r="G88" s="412"/>
      <c r="H88" s="412"/>
      <c r="I88" s="412"/>
      <c r="J88" s="412"/>
      <c r="K88" s="412"/>
      <c r="L88" s="415" t="s">
        <v>49</v>
      </c>
      <c r="M88" s="412"/>
      <c r="N88" s="413"/>
      <c r="O88" s="413"/>
      <c r="P88" s="413"/>
      <c r="Q88" s="413"/>
    </row>
    <row r="89" spans="1:17" ht="14.25" thickBot="1">
      <c r="A89" s="412"/>
      <c r="B89" s="598" t="s">
        <v>219</v>
      </c>
      <c r="C89" s="599"/>
      <c r="D89" s="600"/>
      <c r="E89" s="416"/>
      <c r="F89" s="417">
        <v>0</v>
      </c>
      <c r="G89" s="412" t="str">
        <f>MID(F88,SEARCH("(",F88)+1,3)</f>
        <v>JPY</v>
      </c>
      <c r="H89" s="413"/>
      <c r="I89" s="413"/>
      <c r="J89" s="413"/>
      <c r="K89" s="413"/>
      <c r="L89" s="417">
        <v>0</v>
      </c>
      <c r="M89" s="412" t="str">
        <f>MID(L88,SEARCH("(",L88)+1,3)</f>
        <v>JPY</v>
      </c>
      <c r="N89" s="413"/>
      <c r="O89" s="413"/>
      <c r="P89" s="413"/>
      <c r="Q89" s="413"/>
    </row>
    <row r="90" spans="1:17" ht="14.25" thickBot="1">
      <c r="A90" s="412"/>
      <c r="B90" s="418" t="s">
        <v>959</v>
      </c>
      <c r="C90" s="419"/>
      <c r="D90" s="419"/>
      <c r="E90" s="420"/>
      <c r="F90" s="415" t="s">
        <v>49</v>
      </c>
      <c r="G90" s="412"/>
      <c r="H90" s="413"/>
      <c r="I90" s="413"/>
      <c r="J90" s="413"/>
      <c r="K90" s="413"/>
      <c r="L90" s="415" t="s">
        <v>49</v>
      </c>
      <c r="M90" s="421"/>
      <c r="N90" s="413"/>
      <c r="O90" s="413"/>
      <c r="P90" s="413"/>
      <c r="Q90" s="413"/>
    </row>
    <row r="91" spans="1:17" ht="14.25" thickBot="1">
      <c r="A91" s="412"/>
      <c r="B91" s="422" t="s">
        <v>960</v>
      </c>
      <c r="C91" s="416"/>
      <c r="D91" s="423"/>
      <c r="E91" s="420"/>
      <c r="F91" s="417">
        <v>0</v>
      </c>
      <c r="G91" s="412" t="str">
        <f>MID(F90,SEARCH("(",F90)+1,3)</f>
        <v>JPY</v>
      </c>
      <c r="H91" s="413"/>
      <c r="I91" s="413"/>
      <c r="J91" s="413"/>
      <c r="K91" s="413"/>
      <c r="L91" s="417">
        <v>0</v>
      </c>
      <c r="M91" s="412" t="str">
        <f>MID(L90,SEARCH("(",L90)+1,3)</f>
        <v>JPY</v>
      </c>
      <c r="N91" s="413"/>
      <c r="O91" s="413"/>
      <c r="P91" s="413"/>
      <c r="Q91" s="413"/>
    </row>
    <row r="92" spans="1:17">
      <c r="A92" s="412"/>
      <c r="B92" s="413"/>
      <c r="C92" s="413"/>
      <c r="D92" s="413"/>
      <c r="E92" s="413"/>
      <c r="F92" s="413"/>
      <c r="G92" s="413"/>
      <c r="H92" s="413"/>
      <c r="I92" s="413"/>
      <c r="J92" s="413"/>
      <c r="K92" s="413"/>
      <c r="L92" s="413"/>
      <c r="M92" s="413"/>
      <c r="N92" s="413"/>
      <c r="O92" s="413"/>
      <c r="P92" s="413"/>
      <c r="Q92" s="413"/>
    </row>
    <row r="93" spans="1:17" ht="14.25" thickBot="1">
      <c r="A93" s="412"/>
      <c r="B93" s="412" t="str">
        <f>$F$33&amp;"の特定親族（３人目）"</f>
        <v>生計維持者１の特定親族（３人目）</v>
      </c>
      <c r="C93" s="413"/>
      <c r="D93" s="413"/>
      <c r="E93" s="413"/>
      <c r="F93" s="413"/>
      <c r="G93" s="413"/>
      <c r="H93" s="413"/>
      <c r="I93" s="412" t="str">
        <f>$L$33&amp;"の特定親族（３人目）"</f>
        <v>生計維持者２の特定親族（３人目）</v>
      </c>
      <c r="J93" s="413"/>
      <c r="K93" s="413"/>
      <c r="L93" s="412"/>
      <c r="M93" s="413"/>
      <c r="N93" s="413"/>
      <c r="O93" s="413"/>
      <c r="P93" s="413"/>
      <c r="Q93" s="413"/>
    </row>
    <row r="94" spans="1:17" ht="14.25" thickBot="1">
      <c r="A94" s="412"/>
      <c r="B94" s="598" t="s">
        <v>217</v>
      </c>
      <c r="C94" s="599"/>
      <c r="D94" s="600"/>
      <c r="E94" s="414"/>
      <c r="F94" s="415" t="s">
        <v>49</v>
      </c>
      <c r="G94" s="412"/>
      <c r="H94" s="412"/>
      <c r="I94" s="412"/>
      <c r="J94" s="412"/>
      <c r="K94" s="412"/>
      <c r="L94" s="415" t="s">
        <v>49</v>
      </c>
      <c r="M94" s="412"/>
      <c r="N94" s="413"/>
      <c r="O94" s="413"/>
      <c r="P94" s="413"/>
      <c r="Q94" s="413"/>
    </row>
    <row r="95" spans="1:17" ht="14.25" thickBot="1">
      <c r="A95" s="412"/>
      <c r="B95" s="598" t="s">
        <v>219</v>
      </c>
      <c r="C95" s="599"/>
      <c r="D95" s="600"/>
      <c r="E95" s="416"/>
      <c r="F95" s="417">
        <v>0</v>
      </c>
      <c r="G95" s="412" t="str">
        <f>MID(F94,SEARCH("(",F94)+1,3)</f>
        <v>JPY</v>
      </c>
      <c r="H95" s="413"/>
      <c r="I95" s="413"/>
      <c r="J95" s="413"/>
      <c r="K95" s="413"/>
      <c r="L95" s="417">
        <v>0</v>
      </c>
      <c r="M95" s="412" t="str">
        <f>MID(L94,SEARCH("(",L94)+1,3)</f>
        <v>JPY</v>
      </c>
      <c r="N95" s="413"/>
      <c r="O95" s="413"/>
      <c r="P95" s="413"/>
      <c r="Q95" s="413"/>
    </row>
    <row r="96" spans="1:17" ht="14.25" thickBot="1">
      <c r="A96" s="412"/>
      <c r="B96" s="418" t="s">
        <v>959</v>
      </c>
      <c r="C96" s="419"/>
      <c r="D96" s="419"/>
      <c r="E96" s="420"/>
      <c r="F96" s="415" t="s">
        <v>49</v>
      </c>
      <c r="G96" s="412"/>
      <c r="H96" s="413"/>
      <c r="I96" s="413"/>
      <c r="J96" s="413"/>
      <c r="K96" s="413"/>
      <c r="L96" s="415" t="s">
        <v>49</v>
      </c>
      <c r="M96" s="421"/>
      <c r="N96" s="413"/>
      <c r="O96" s="413"/>
      <c r="P96" s="413"/>
      <c r="Q96" s="413"/>
    </row>
    <row r="97" spans="1:17" ht="14.25" thickBot="1">
      <c r="A97" s="412"/>
      <c r="B97" s="422" t="s">
        <v>960</v>
      </c>
      <c r="C97" s="416"/>
      <c r="D97" s="423"/>
      <c r="E97" s="420"/>
      <c r="F97" s="417">
        <v>0</v>
      </c>
      <c r="G97" s="412" t="str">
        <f>MID(F96,SEARCH("(",F96)+1,3)</f>
        <v>JPY</v>
      </c>
      <c r="H97" s="413"/>
      <c r="I97" s="413"/>
      <c r="J97" s="413"/>
      <c r="K97" s="413"/>
      <c r="L97" s="417">
        <v>0</v>
      </c>
      <c r="M97" s="412" t="str">
        <f>MID(L96,SEARCH("(",L96)+1,3)</f>
        <v>JPY</v>
      </c>
      <c r="N97" s="413"/>
      <c r="O97" s="413"/>
      <c r="P97" s="413"/>
      <c r="Q97" s="413"/>
    </row>
    <row r="98" spans="1:17">
      <c r="A98" s="412"/>
      <c r="B98" s="413"/>
      <c r="C98" s="413"/>
      <c r="D98" s="413"/>
      <c r="E98" s="413"/>
      <c r="F98" s="413"/>
      <c r="G98" s="413"/>
      <c r="H98" s="413"/>
      <c r="I98" s="413"/>
      <c r="J98" s="413"/>
      <c r="K98" s="413"/>
      <c r="L98" s="413"/>
      <c r="M98" s="413"/>
      <c r="N98" s="413"/>
      <c r="O98" s="413"/>
      <c r="P98" s="413"/>
      <c r="Q98" s="413"/>
    </row>
    <row r="99" spans="1:17" ht="14.25" thickBot="1">
      <c r="A99" s="412"/>
      <c r="B99" s="412" t="str">
        <f>$F$33&amp;"の特定親族（４人目）"</f>
        <v>生計維持者１の特定親族（４人目）</v>
      </c>
      <c r="C99" s="413"/>
      <c r="D99" s="413"/>
      <c r="E99" s="413"/>
      <c r="F99" s="413"/>
      <c r="G99" s="413"/>
      <c r="H99" s="413"/>
      <c r="I99" s="412" t="str">
        <f>$L$33&amp;"の特定親族（４人目）"</f>
        <v>生計維持者２の特定親族（４人目）</v>
      </c>
      <c r="J99" s="413"/>
      <c r="K99" s="413"/>
      <c r="L99" s="412"/>
      <c r="M99" s="413"/>
      <c r="N99" s="413"/>
      <c r="O99" s="413"/>
      <c r="P99" s="413"/>
      <c r="Q99" s="413"/>
    </row>
    <row r="100" spans="1:17" ht="14.25" thickBot="1">
      <c r="A100" s="412"/>
      <c r="B100" s="598" t="s">
        <v>217</v>
      </c>
      <c r="C100" s="599"/>
      <c r="D100" s="600"/>
      <c r="E100" s="414"/>
      <c r="F100" s="415" t="s">
        <v>49</v>
      </c>
      <c r="G100" s="412"/>
      <c r="H100" s="412"/>
      <c r="I100" s="412"/>
      <c r="J100" s="412"/>
      <c r="K100" s="412"/>
      <c r="L100" s="415" t="s">
        <v>49</v>
      </c>
      <c r="M100" s="412"/>
      <c r="N100" s="413"/>
      <c r="O100" s="413"/>
      <c r="P100" s="413"/>
      <c r="Q100" s="413"/>
    </row>
    <row r="101" spans="1:17" ht="14.25" thickBot="1">
      <c r="A101" s="412"/>
      <c r="B101" s="598" t="s">
        <v>219</v>
      </c>
      <c r="C101" s="599"/>
      <c r="D101" s="600"/>
      <c r="E101" s="416"/>
      <c r="F101" s="417">
        <v>0</v>
      </c>
      <c r="G101" s="412" t="str">
        <f>MID(F100,SEARCH("(",F100)+1,3)</f>
        <v>JPY</v>
      </c>
      <c r="H101" s="413"/>
      <c r="I101" s="413"/>
      <c r="J101" s="413"/>
      <c r="K101" s="413"/>
      <c r="L101" s="417">
        <v>0</v>
      </c>
      <c r="M101" s="412" t="str">
        <f>MID(L100,SEARCH("(",L100)+1,3)</f>
        <v>JPY</v>
      </c>
      <c r="N101" s="413"/>
      <c r="O101" s="413"/>
      <c r="P101" s="413"/>
      <c r="Q101" s="413"/>
    </row>
    <row r="102" spans="1:17" ht="14.25" thickBot="1">
      <c r="A102" s="412"/>
      <c r="B102" s="418" t="s">
        <v>959</v>
      </c>
      <c r="C102" s="419"/>
      <c r="D102" s="419"/>
      <c r="E102" s="420"/>
      <c r="F102" s="415" t="s">
        <v>49</v>
      </c>
      <c r="G102" s="412"/>
      <c r="H102" s="413"/>
      <c r="I102" s="413"/>
      <c r="J102" s="413"/>
      <c r="K102" s="413"/>
      <c r="L102" s="415" t="s">
        <v>49</v>
      </c>
      <c r="M102" s="421"/>
      <c r="N102" s="413"/>
      <c r="O102" s="413"/>
      <c r="P102" s="413"/>
      <c r="Q102" s="413"/>
    </row>
    <row r="103" spans="1:17" ht="14.25" thickBot="1">
      <c r="A103" s="412"/>
      <c r="B103" s="422" t="s">
        <v>960</v>
      </c>
      <c r="C103" s="416"/>
      <c r="D103" s="423"/>
      <c r="E103" s="420"/>
      <c r="F103" s="417">
        <v>0</v>
      </c>
      <c r="G103" s="412" t="str">
        <f>MID(F102,SEARCH("(",F102)+1,3)</f>
        <v>JPY</v>
      </c>
      <c r="H103" s="413"/>
      <c r="I103" s="413"/>
      <c r="J103" s="413"/>
      <c r="K103" s="413"/>
      <c r="L103" s="417">
        <v>0</v>
      </c>
      <c r="M103" s="412" t="str">
        <f>MID(L102,SEARCH("(",L102)+1,3)</f>
        <v>JPY</v>
      </c>
      <c r="N103" s="413"/>
      <c r="O103" s="413"/>
      <c r="P103" s="413"/>
      <c r="Q103" s="413"/>
    </row>
    <row r="104" spans="1:17">
      <c r="A104" s="412"/>
      <c r="B104" s="413"/>
      <c r="C104" s="413"/>
      <c r="D104" s="413"/>
      <c r="E104" s="413"/>
      <c r="F104" s="413"/>
      <c r="G104" s="413"/>
      <c r="H104" s="413"/>
      <c r="I104" s="413"/>
      <c r="J104" s="413"/>
      <c r="K104" s="413"/>
      <c r="L104" s="413"/>
      <c r="M104" s="413"/>
      <c r="N104" s="413"/>
      <c r="O104" s="413"/>
      <c r="P104" s="413"/>
      <c r="Q104" s="413"/>
    </row>
    <row r="105" spans="1:17" ht="14.25" thickBot="1">
      <c r="A105" s="412"/>
      <c r="B105" s="412" t="str">
        <f>$F$33&amp;"の特定親族（５人目）"</f>
        <v>生計維持者１の特定親族（５人目）</v>
      </c>
      <c r="C105" s="413"/>
      <c r="D105" s="413"/>
      <c r="E105" s="413"/>
      <c r="F105" s="413"/>
      <c r="G105" s="413"/>
      <c r="H105" s="413"/>
      <c r="I105" s="412" t="str">
        <f>$L$33&amp;"の特定親族（５人目）"</f>
        <v>生計維持者２の特定親族（５人目）</v>
      </c>
      <c r="J105" s="413"/>
      <c r="K105" s="413"/>
      <c r="L105" s="412"/>
      <c r="M105" s="413"/>
      <c r="N105" s="413"/>
      <c r="O105" s="413"/>
      <c r="P105" s="413"/>
      <c r="Q105" s="413"/>
    </row>
    <row r="106" spans="1:17" ht="14.25" thickBot="1">
      <c r="A106" s="412"/>
      <c r="B106" s="598" t="s">
        <v>217</v>
      </c>
      <c r="C106" s="599"/>
      <c r="D106" s="600"/>
      <c r="E106" s="414"/>
      <c r="F106" s="415" t="s">
        <v>49</v>
      </c>
      <c r="G106" s="412"/>
      <c r="H106" s="412"/>
      <c r="I106" s="412"/>
      <c r="J106" s="412"/>
      <c r="K106" s="412"/>
      <c r="L106" s="415" t="s">
        <v>49</v>
      </c>
      <c r="M106" s="412"/>
      <c r="N106" s="413"/>
      <c r="O106" s="413"/>
      <c r="P106" s="413"/>
      <c r="Q106" s="413"/>
    </row>
    <row r="107" spans="1:17" ht="14.25" thickBot="1">
      <c r="A107" s="412"/>
      <c r="B107" s="598" t="s">
        <v>219</v>
      </c>
      <c r="C107" s="599"/>
      <c r="D107" s="600"/>
      <c r="E107" s="416"/>
      <c r="F107" s="417">
        <v>0</v>
      </c>
      <c r="G107" s="412" t="str">
        <f>MID(F106,SEARCH("(",F106)+1,3)</f>
        <v>JPY</v>
      </c>
      <c r="H107" s="413"/>
      <c r="I107" s="413"/>
      <c r="J107" s="413"/>
      <c r="K107" s="413"/>
      <c r="L107" s="417">
        <v>0</v>
      </c>
      <c r="M107" s="412" t="str">
        <f>MID(L106,SEARCH("(",L106)+1,3)</f>
        <v>JPY</v>
      </c>
      <c r="N107" s="413"/>
      <c r="O107" s="413"/>
      <c r="P107" s="413"/>
      <c r="Q107" s="413"/>
    </row>
    <row r="108" spans="1:17" ht="14.25" thickBot="1">
      <c r="A108" s="412"/>
      <c r="B108" s="418" t="s">
        <v>959</v>
      </c>
      <c r="C108" s="419"/>
      <c r="D108" s="419"/>
      <c r="E108" s="420"/>
      <c r="F108" s="415" t="s">
        <v>49</v>
      </c>
      <c r="G108" s="412"/>
      <c r="H108" s="413"/>
      <c r="I108" s="413"/>
      <c r="J108" s="413"/>
      <c r="K108" s="413"/>
      <c r="L108" s="415" t="s">
        <v>49</v>
      </c>
      <c r="M108" s="421"/>
      <c r="N108" s="413"/>
      <c r="O108" s="413"/>
      <c r="P108" s="413"/>
      <c r="Q108" s="413"/>
    </row>
    <row r="109" spans="1:17" ht="14.25" thickBot="1">
      <c r="A109" s="412"/>
      <c r="B109" s="422" t="s">
        <v>960</v>
      </c>
      <c r="C109" s="416"/>
      <c r="D109" s="423"/>
      <c r="E109" s="420"/>
      <c r="F109" s="417">
        <v>0</v>
      </c>
      <c r="G109" s="412" t="str">
        <f>MID(F108,SEARCH("(",F108)+1,3)</f>
        <v>JPY</v>
      </c>
      <c r="H109" s="413"/>
      <c r="I109" s="413"/>
      <c r="J109" s="413"/>
      <c r="K109" s="413"/>
      <c r="L109" s="417">
        <v>0</v>
      </c>
      <c r="M109" s="412" t="str">
        <f>MID(L108,SEARCH("(",L108)+1,3)</f>
        <v>JPY</v>
      </c>
      <c r="N109" s="413"/>
      <c r="O109" s="413"/>
      <c r="P109" s="413"/>
      <c r="Q109" s="413"/>
    </row>
    <row r="110" spans="1:17">
      <c r="A110" s="412"/>
      <c r="B110" s="413"/>
      <c r="C110" s="413"/>
      <c r="D110" s="413"/>
      <c r="E110" s="413"/>
      <c r="F110" s="413"/>
      <c r="G110" s="413"/>
      <c r="H110" s="413"/>
      <c r="I110" s="413"/>
      <c r="J110" s="413"/>
      <c r="K110" s="413"/>
      <c r="L110" s="413"/>
      <c r="M110" s="413"/>
      <c r="N110" s="413"/>
      <c r="O110" s="413"/>
      <c r="P110" s="413"/>
      <c r="Q110" s="413"/>
    </row>
    <row r="111" spans="1:17" ht="14.25" thickBot="1">
      <c r="A111" s="412"/>
      <c r="B111" s="412" t="str">
        <f>$F$33&amp;"の特定親族（６人目）"</f>
        <v>生計維持者１の特定親族（６人目）</v>
      </c>
      <c r="C111" s="413"/>
      <c r="D111" s="413"/>
      <c r="E111" s="413"/>
      <c r="F111" s="413"/>
      <c r="G111" s="413"/>
      <c r="H111" s="413"/>
      <c r="I111" s="412" t="str">
        <f>$L$33&amp;"の特定親族（６人目）"</f>
        <v>生計維持者２の特定親族（６人目）</v>
      </c>
      <c r="J111" s="413"/>
      <c r="K111" s="413"/>
      <c r="L111" s="412"/>
      <c r="M111" s="413"/>
      <c r="N111" s="413"/>
      <c r="O111" s="413"/>
      <c r="P111" s="413"/>
      <c r="Q111" s="413"/>
    </row>
    <row r="112" spans="1:17" ht="14.25" thickBot="1">
      <c r="A112" s="412"/>
      <c r="B112" s="598" t="s">
        <v>217</v>
      </c>
      <c r="C112" s="599"/>
      <c r="D112" s="600"/>
      <c r="E112" s="414"/>
      <c r="F112" s="415" t="s">
        <v>49</v>
      </c>
      <c r="G112" s="412"/>
      <c r="H112" s="412"/>
      <c r="I112" s="412"/>
      <c r="J112" s="412"/>
      <c r="K112" s="412"/>
      <c r="L112" s="415" t="s">
        <v>49</v>
      </c>
      <c r="M112" s="412"/>
      <c r="N112" s="413"/>
      <c r="O112" s="413"/>
      <c r="P112" s="413"/>
      <c r="Q112" s="413"/>
    </row>
    <row r="113" spans="1:17" ht="14.25" thickBot="1">
      <c r="A113" s="412"/>
      <c r="B113" s="598" t="s">
        <v>219</v>
      </c>
      <c r="C113" s="599"/>
      <c r="D113" s="600"/>
      <c r="E113" s="416"/>
      <c r="F113" s="417">
        <v>0</v>
      </c>
      <c r="G113" s="412" t="str">
        <f>MID(F112,SEARCH("(",F112)+1,3)</f>
        <v>JPY</v>
      </c>
      <c r="H113" s="413"/>
      <c r="I113" s="413"/>
      <c r="J113" s="413"/>
      <c r="K113" s="413"/>
      <c r="L113" s="417">
        <v>0</v>
      </c>
      <c r="M113" s="412" t="str">
        <f>MID(L112,SEARCH("(",L112)+1,3)</f>
        <v>JPY</v>
      </c>
      <c r="N113" s="413"/>
      <c r="O113" s="413"/>
      <c r="P113" s="413"/>
      <c r="Q113" s="413"/>
    </row>
    <row r="114" spans="1:17" ht="14.25" thickBot="1">
      <c r="A114" s="412"/>
      <c r="B114" s="418" t="s">
        <v>959</v>
      </c>
      <c r="C114" s="419"/>
      <c r="D114" s="419"/>
      <c r="E114" s="420"/>
      <c r="F114" s="415" t="s">
        <v>49</v>
      </c>
      <c r="G114" s="412"/>
      <c r="H114" s="413"/>
      <c r="I114" s="413"/>
      <c r="J114" s="413"/>
      <c r="K114" s="413"/>
      <c r="L114" s="415" t="s">
        <v>49</v>
      </c>
      <c r="M114" s="421"/>
      <c r="N114" s="413"/>
      <c r="O114" s="413"/>
      <c r="P114" s="413"/>
      <c r="Q114" s="413"/>
    </row>
    <row r="115" spans="1:17" ht="14.25" thickBot="1">
      <c r="A115" s="412"/>
      <c r="B115" s="422" t="s">
        <v>960</v>
      </c>
      <c r="C115" s="416"/>
      <c r="D115" s="423"/>
      <c r="E115" s="420"/>
      <c r="F115" s="417">
        <v>0</v>
      </c>
      <c r="G115" s="412" t="str">
        <f>MID(F114,SEARCH("(",F114)+1,3)</f>
        <v>JPY</v>
      </c>
      <c r="H115" s="413"/>
      <c r="I115" s="413"/>
      <c r="J115" s="413"/>
      <c r="K115" s="413"/>
      <c r="L115" s="417">
        <v>0</v>
      </c>
      <c r="M115" s="412" t="str">
        <f>MID(L114,SEARCH("(",L114)+1,3)</f>
        <v>JPY</v>
      </c>
      <c r="N115" s="413"/>
      <c r="O115" s="413"/>
      <c r="P115" s="413"/>
      <c r="Q115" s="413"/>
    </row>
    <row r="116" spans="1:17">
      <c r="A116" s="412"/>
      <c r="B116" s="413"/>
      <c r="C116" s="413"/>
      <c r="D116" s="413"/>
      <c r="E116" s="413"/>
      <c r="F116" s="413"/>
      <c r="G116" s="413"/>
      <c r="H116" s="413"/>
      <c r="I116" s="413"/>
      <c r="J116" s="413"/>
      <c r="K116" s="413"/>
      <c r="L116" s="413"/>
      <c r="M116" s="413"/>
      <c r="N116" s="413"/>
      <c r="O116" s="413"/>
      <c r="P116" s="413"/>
      <c r="Q116" s="413"/>
    </row>
    <row r="117" spans="1:17" ht="14.25" thickBot="1">
      <c r="A117" s="412"/>
      <c r="B117" s="412" t="str">
        <f>$F$33&amp;"の特定親族（７人目）"</f>
        <v>生計維持者１の特定親族（７人目）</v>
      </c>
      <c r="C117" s="413"/>
      <c r="D117" s="413"/>
      <c r="E117" s="413"/>
      <c r="F117" s="413"/>
      <c r="G117" s="413"/>
      <c r="H117" s="413"/>
      <c r="I117" s="412" t="str">
        <f>$L$33&amp;"の特定親族（７人目）"</f>
        <v>生計維持者２の特定親族（７人目）</v>
      </c>
      <c r="J117" s="413"/>
      <c r="K117" s="413"/>
      <c r="L117" s="412"/>
      <c r="M117" s="413"/>
      <c r="N117" s="413"/>
      <c r="O117" s="413"/>
      <c r="P117" s="413"/>
      <c r="Q117" s="413"/>
    </row>
    <row r="118" spans="1:17" ht="14.25" thickBot="1">
      <c r="A118" s="412"/>
      <c r="B118" s="598" t="s">
        <v>217</v>
      </c>
      <c r="C118" s="599"/>
      <c r="D118" s="600"/>
      <c r="E118" s="414"/>
      <c r="F118" s="415" t="s">
        <v>49</v>
      </c>
      <c r="G118" s="412"/>
      <c r="H118" s="412"/>
      <c r="I118" s="412"/>
      <c r="J118" s="412"/>
      <c r="K118" s="412"/>
      <c r="L118" s="415" t="s">
        <v>49</v>
      </c>
      <c r="M118" s="412"/>
      <c r="N118" s="413"/>
      <c r="O118" s="413"/>
      <c r="P118" s="413"/>
      <c r="Q118" s="413"/>
    </row>
    <row r="119" spans="1:17" ht="14.25" thickBot="1">
      <c r="A119" s="412"/>
      <c r="B119" s="598" t="s">
        <v>219</v>
      </c>
      <c r="C119" s="599"/>
      <c r="D119" s="600"/>
      <c r="E119" s="416"/>
      <c r="F119" s="417">
        <v>0</v>
      </c>
      <c r="G119" s="412" t="str">
        <f>MID(F118,SEARCH("(",F118)+1,3)</f>
        <v>JPY</v>
      </c>
      <c r="H119" s="413"/>
      <c r="I119" s="413"/>
      <c r="J119" s="413"/>
      <c r="K119" s="413"/>
      <c r="L119" s="417">
        <v>0</v>
      </c>
      <c r="M119" s="412" t="str">
        <f>MID(L118,SEARCH("(",L118)+1,3)</f>
        <v>JPY</v>
      </c>
      <c r="N119" s="413"/>
      <c r="O119" s="413"/>
      <c r="P119" s="413"/>
      <c r="Q119" s="413"/>
    </row>
    <row r="120" spans="1:17" ht="14.25" thickBot="1">
      <c r="A120" s="412"/>
      <c r="B120" s="418" t="s">
        <v>959</v>
      </c>
      <c r="C120" s="419"/>
      <c r="D120" s="419"/>
      <c r="E120" s="420"/>
      <c r="F120" s="415" t="s">
        <v>49</v>
      </c>
      <c r="G120" s="412"/>
      <c r="H120" s="413"/>
      <c r="I120" s="413"/>
      <c r="J120" s="413"/>
      <c r="K120" s="413"/>
      <c r="L120" s="415" t="s">
        <v>49</v>
      </c>
      <c r="M120" s="421"/>
      <c r="N120" s="413"/>
      <c r="O120" s="413"/>
      <c r="P120" s="413"/>
      <c r="Q120" s="413"/>
    </row>
    <row r="121" spans="1:17" ht="14.25" thickBot="1">
      <c r="A121" s="412"/>
      <c r="B121" s="422" t="s">
        <v>960</v>
      </c>
      <c r="C121" s="416"/>
      <c r="D121" s="423"/>
      <c r="E121" s="420"/>
      <c r="F121" s="417">
        <v>0</v>
      </c>
      <c r="G121" s="412" t="str">
        <f>MID(F120,SEARCH("(",F120)+1,3)</f>
        <v>JPY</v>
      </c>
      <c r="H121" s="413"/>
      <c r="I121" s="413"/>
      <c r="J121" s="413"/>
      <c r="K121" s="413"/>
      <c r="L121" s="417">
        <v>0</v>
      </c>
      <c r="M121" s="412" t="str">
        <f>MID(L120,SEARCH("(",L120)+1,3)</f>
        <v>JPY</v>
      </c>
      <c r="N121" s="413"/>
      <c r="O121" s="413"/>
      <c r="P121" s="413"/>
      <c r="Q121" s="413"/>
    </row>
    <row r="122" spans="1:17">
      <c r="A122" s="412"/>
      <c r="B122" s="413"/>
      <c r="C122" s="413"/>
      <c r="D122" s="413"/>
      <c r="E122" s="413"/>
      <c r="F122" s="413"/>
      <c r="G122" s="413"/>
      <c r="H122" s="413"/>
      <c r="I122" s="413"/>
      <c r="J122" s="413"/>
      <c r="K122" s="413"/>
      <c r="L122" s="413"/>
      <c r="M122" s="413"/>
      <c r="N122" s="413"/>
      <c r="O122" s="413"/>
      <c r="P122" s="413"/>
      <c r="Q122" s="413"/>
    </row>
    <row r="123" spans="1:17" ht="14.25" thickBot="1">
      <c r="A123" s="412"/>
      <c r="B123" s="412" t="str">
        <f>$F$33&amp;"の特定親族（８人目）"</f>
        <v>生計維持者１の特定親族（８人目）</v>
      </c>
      <c r="C123" s="413"/>
      <c r="D123" s="413"/>
      <c r="E123" s="413"/>
      <c r="F123" s="413"/>
      <c r="G123" s="413"/>
      <c r="H123" s="413"/>
      <c r="I123" s="412" t="str">
        <f>$L$33&amp;"の特定親族（８人目）"</f>
        <v>生計維持者２の特定親族（８人目）</v>
      </c>
      <c r="J123" s="413"/>
      <c r="K123" s="413"/>
      <c r="L123" s="412"/>
      <c r="M123" s="413"/>
      <c r="N123" s="413"/>
      <c r="O123" s="413"/>
      <c r="P123" s="413"/>
      <c r="Q123" s="413"/>
    </row>
    <row r="124" spans="1:17" ht="14.25" thickBot="1">
      <c r="A124" s="412"/>
      <c r="B124" s="598" t="s">
        <v>217</v>
      </c>
      <c r="C124" s="599"/>
      <c r="D124" s="600"/>
      <c r="E124" s="414"/>
      <c r="F124" s="415" t="s">
        <v>49</v>
      </c>
      <c r="G124" s="412"/>
      <c r="H124" s="412"/>
      <c r="I124" s="412"/>
      <c r="J124" s="412"/>
      <c r="K124" s="412"/>
      <c r="L124" s="415" t="s">
        <v>49</v>
      </c>
      <c r="M124" s="412"/>
      <c r="N124" s="413"/>
      <c r="O124" s="413"/>
      <c r="P124" s="413"/>
      <c r="Q124" s="413"/>
    </row>
    <row r="125" spans="1:17" ht="14.25" thickBot="1">
      <c r="A125" s="412"/>
      <c r="B125" s="598" t="s">
        <v>219</v>
      </c>
      <c r="C125" s="599"/>
      <c r="D125" s="600"/>
      <c r="E125" s="416"/>
      <c r="F125" s="417">
        <v>0</v>
      </c>
      <c r="G125" s="412" t="str">
        <f>MID(F124,SEARCH("(",F124)+1,3)</f>
        <v>JPY</v>
      </c>
      <c r="H125" s="413"/>
      <c r="I125" s="413"/>
      <c r="J125" s="413"/>
      <c r="K125" s="413"/>
      <c r="L125" s="417">
        <v>0</v>
      </c>
      <c r="M125" s="412" t="str">
        <f>MID(L124,SEARCH("(",L124)+1,3)</f>
        <v>JPY</v>
      </c>
      <c r="N125" s="413"/>
      <c r="O125" s="413"/>
      <c r="P125" s="413"/>
      <c r="Q125" s="413"/>
    </row>
    <row r="126" spans="1:17" ht="14.25" thickBot="1">
      <c r="A126" s="412"/>
      <c r="B126" s="418" t="s">
        <v>959</v>
      </c>
      <c r="C126" s="419"/>
      <c r="D126" s="419"/>
      <c r="E126" s="420"/>
      <c r="F126" s="415" t="s">
        <v>49</v>
      </c>
      <c r="G126" s="412"/>
      <c r="H126" s="413"/>
      <c r="I126" s="413"/>
      <c r="J126" s="413"/>
      <c r="K126" s="413"/>
      <c r="L126" s="415" t="s">
        <v>49</v>
      </c>
      <c r="M126" s="421"/>
      <c r="N126" s="413"/>
      <c r="O126" s="413"/>
      <c r="P126" s="413"/>
      <c r="Q126" s="413"/>
    </row>
    <row r="127" spans="1:17" ht="14.25" thickBot="1">
      <c r="A127" s="412"/>
      <c r="B127" s="422" t="s">
        <v>960</v>
      </c>
      <c r="C127" s="416"/>
      <c r="D127" s="423"/>
      <c r="E127" s="420"/>
      <c r="F127" s="417">
        <v>0</v>
      </c>
      <c r="G127" s="412" t="str">
        <f>MID(F126,SEARCH("(",F126)+1,3)</f>
        <v>JPY</v>
      </c>
      <c r="H127" s="413"/>
      <c r="I127" s="413"/>
      <c r="J127" s="413"/>
      <c r="K127" s="413"/>
      <c r="L127" s="417">
        <v>0</v>
      </c>
      <c r="M127" s="412" t="str">
        <f>MID(L126,SEARCH("(",L126)+1,3)</f>
        <v>JPY</v>
      </c>
      <c r="N127" s="413"/>
      <c r="O127" s="413"/>
      <c r="P127" s="413"/>
      <c r="Q127" s="413"/>
    </row>
    <row r="128" spans="1:17">
      <c r="A128" s="412"/>
      <c r="B128" s="413"/>
      <c r="C128" s="413"/>
      <c r="D128" s="413"/>
      <c r="E128" s="413"/>
      <c r="F128" s="413"/>
      <c r="G128" s="413"/>
      <c r="H128" s="413"/>
      <c r="I128" s="413"/>
      <c r="J128" s="413"/>
      <c r="K128" s="413"/>
      <c r="L128" s="413"/>
      <c r="M128" s="413"/>
      <c r="N128" s="413"/>
      <c r="O128" s="413"/>
      <c r="P128" s="413"/>
      <c r="Q128" s="413"/>
    </row>
    <row r="129" spans="1:17" ht="14.25" thickBot="1">
      <c r="A129" s="412"/>
      <c r="B129" s="412" t="str">
        <f>$F$33&amp;"の特定親族（９人目）"</f>
        <v>生計維持者１の特定親族（９人目）</v>
      </c>
      <c r="C129" s="413"/>
      <c r="D129" s="413"/>
      <c r="E129" s="413"/>
      <c r="F129" s="413"/>
      <c r="G129" s="413"/>
      <c r="H129" s="413"/>
      <c r="I129" s="412" t="str">
        <f>$L$33&amp;"の特定親族（９人目）"</f>
        <v>生計維持者２の特定親族（９人目）</v>
      </c>
      <c r="J129" s="413"/>
      <c r="K129" s="413"/>
      <c r="L129" s="412"/>
      <c r="M129" s="413"/>
      <c r="N129" s="413"/>
      <c r="O129" s="413"/>
      <c r="P129" s="413"/>
      <c r="Q129" s="413"/>
    </row>
    <row r="130" spans="1:17" ht="14.25" thickBot="1">
      <c r="A130" s="412"/>
      <c r="B130" s="598" t="s">
        <v>217</v>
      </c>
      <c r="C130" s="599"/>
      <c r="D130" s="600"/>
      <c r="E130" s="414"/>
      <c r="F130" s="415" t="s">
        <v>49</v>
      </c>
      <c r="G130" s="412"/>
      <c r="H130" s="412"/>
      <c r="I130" s="412"/>
      <c r="J130" s="412"/>
      <c r="K130" s="412"/>
      <c r="L130" s="415" t="s">
        <v>49</v>
      </c>
      <c r="M130" s="412"/>
      <c r="N130" s="413"/>
      <c r="O130" s="413"/>
      <c r="P130" s="413"/>
      <c r="Q130" s="413"/>
    </row>
    <row r="131" spans="1:17" ht="14.25" thickBot="1">
      <c r="A131" s="412"/>
      <c r="B131" s="598" t="s">
        <v>219</v>
      </c>
      <c r="C131" s="599"/>
      <c r="D131" s="600"/>
      <c r="E131" s="416"/>
      <c r="F131" s="417">
        <v>0</v>
      </c>
      <c r="G131" s="412" t="str">
        <f>MID(F130,SEARCH("(",F130)+1,3)</f>
        <v>JPY</v>
      </c>
      <c r="H131" s="413"/>
      <c r="I131" s="413"/>
      <c r="J131" s="413"/>
      <c r="K131" s="413"/>
      <c r="L131" s="417">
        <v>0</v>
      </c>
      <c r="M131" s="412" t="str">
        <f>MID(L130,SEARCH("(",L130)+1,3)</f>
        <v>JPY</v>
      </c>
      <c r="N131" s="413"/>
      <c r="O131" s="413"/>
      <c r="P131" s="413"/>
      <c r="Q131" s="413"/>
    </row>
    <row r="132" spans="1:17" ht="14.25" thickBot="1">
      <c r="A132" s="412"/>
      <c r="B132" s="418" t="s">
        <v>959</v>
      </c>
      <c r="C132" s="419"/>
      <c r="D132" s="419"/>
      <c r="E132" s="420"/>
      <c r="F132" s="415" t="s">
        <v>49</v>
      </c>
      <c r="G132" s="412"/>
      <c r="H132" s="413"/>
      <c r="I132" s="413"/>
      <c r="J132" s="413"/>
      <c r="K132" s="413"/>
      <c r="L132" s="415" t="s">
        <v>49</v>
      </c>
      <c r="M132" s="421"/>
      <c r="N132" s="413"/>
      <c r="O132" s="413"/>
      <c r="P132" s="413"/>
      <c r="Q132" s="413"/>
    </row>
    <row r="133" spans="1:17" ht="14.25" thickBot="1">
      <c r="A133" s="412"/>
      <c r="B133" s="422" t="s">
        <v>960</v>
      </c>
      <c r="C133" s="416"/>
      <c r="D133" s="423"/>
      <c r="E133" s="420"/>
      <c r="F133" s="417">
        <v>0</v>
      </c>
      <c r="G133" s="412" t="str">
        <f>MID(F132,SEARCH("(",F132)+1,3)</f>
        <v>JPY</v>
      </c>
      <c r="H133" s="413"/>
      <c r="I133" s="413"/>
      <c r="J133" s="413"/>
      <c r="K133" s="413"/>
      <c r="L133" s="417">
        <v>0</v>
      </c>
      <c r="M133" s="412" t="str">
        <f>MID(L132,SEARCH("(",L132)+1,3)</f>
        <v>JPY</v>
      </c>
      <c r="N133" s="413"/>
      <c r="O133" s="413"/>
      <c r="P133" s="413"/>
      <c r="Q133" s="413"/>
    </row>
  </sheetData>
  <sheetProtection algorithmName="SHA-512" hashValue="9wz1+E+7dhwTBqGwxnm2q+nWDyEtYtIWUGlDndWRk3HE9NkY8UAlIOf+gyV8P8VHumO4vXd0iFhSxYmyitHFkw==" saltValue="q/QJIA0OikGCKzmL4V0Qww==" spinCount="100000" sheet="1" objects="1" scenarios="1"/>
  <protectedRanges>
    <protectedRange sqref="L82:L85 L88:L91 L94:L97 L100:L103 L106:L109 L112:L115 L118:L121 L124:L127 L130:L133" name="範囲2_2"/>
    <protectedRange sqref="F82:F85 F88:F91 F94:F97 F100:F103 F106:F109 F112:F115 F118:F121 F124:F127 F130:F133" name="範囲2_1"/>
    <protectedRange sqref="L82:L85 F82:F85 F88:F91 F94:F97 F100:F103 F106:F109 F112:F115 F118:F121 F124:F127 F130:F133 L88:L91 L94:L97 L100:L103 L106:L109 L112:L115 L118:L121 L124:L127 L130:L133" name="範囲1_3"/>
    <protectedRange sqref="L54" name="範囲1_2"/>
    <protectedRange sqref="F54" name="範囲1_1"/>
    <protectedRange sqref="D10 D11:E18 F24:F31 F35:F40 H11 F43:F48 F51:F53 L8:M8 N55 H55 L51:L53 L43:L48 I13:L13 L10:N10 I15:I17 L35 L39 J11:N11 F55:F60 L55:L60" name="範囲1"/>
  </protectedRanges>
  <mergeCells count="76">
    <mergeCell ref="B119:D119"/>
    <mergeCell ref="B124:D124"/>
    <mergeCell ref="B125:D125"/>
    <mergeCell ref="B130:D130"/>
    <mergeCell ref="B131:D131"/>
    <mergeCell ref="B106:D106"/>
    <mergeCell ref="B107:D107"/>
    <mergeCell ref="B112:D112"/>
    <mergeCell ref="B113:D113"/>
    <mergeCell ref="B118:D118"/>
    <mergeCell ref="B89:D89"/>
    <mergeCell ref="B94:D94"/>
    <mergeCell ref="B95:D95"/>
    <mergeCell ref="B100:D100"/>
    <mergeCell ref="B101:D101"/>
    <mergeCell ref="B88:D88"/>
    <mergeCell ref="B60:D60"/>
    <mergeCell ref="B56:D56"/>
    <mergeCell ref="B57:D57"/>
    <mergeCell ref="B58:D58"/>
    <mergeCell ref="B59:D59"/>
    <mergeCell ref="N56:O56"/>
    <mergeCell ref="B54:D54"/>
    <mergeCell ref="A78:O78"/>
    <mergeCell ref="B82:D82"/>
    <mergeCell ref="B83:D83"/>
    <mergeCell ref="I74:J74"/>
    <mergeCell ref="H56:I56"/>
    <mergeCell ref="B55:D55"/>
    <mergeCell ref="B30:D30"/>
    <mergeCell ref="B39:D39"/>
    <mergeCell ref="B40:D40"/>
    <mergeCell ref="B43:D43"/>
    <mergeCell ref="B44:D44"/>
    <mergeCell ref="B45:D45"/>
    <mergeCell ref="B46:D46"/>
    <mergeCell ref="B51:D51"/>
    <mergeCell ref="B52:D52"/>
    <mergeCell ref="B53:D53"/>
    <mergeCell ref="J26:M26"/>
    <mergeCell ref="J27:M27"/>
    <mergeCell ref="G17:H17"/>
    <mergeCell ref="B38:D38"/>
    <mergeCell ref="B31:D31"/>
    <mergeCell ref="B35:D35"/>
    <mergeCell ref="B36:D36"/>
    <mergeCell ref="B37:D37"/>
    <mergeCell ref="B26:D26"/>
    <mergeCell ref="B27:D27"/>
    <mergeCell ref="B28:D28"/>
    <mergeCell ref="B29:D29"/>
    <mergeCell ref="B25:D25"/>
    <mergeCell ref="J28:M28"/>
    <mergeCell ref="J29:M29"/>
    <mergeCell ref="J30:M30"/>
    <mergeCell ref="B23:D23"/>
    <mergeCell ref="B24:D24"/>
    <mergeCell ref="L8:N8"/>
    <mergeCell ref="L9:N9"/>
    <mergeCell ref="I15:J15"/>
    <mergeCell ref="I17:J17"/>
    <mergeCell ref="I13:L13"/>
    <mergeCell ref="J11:N11"/>
    <mergeCell ref="K17:N17"/>
    <mergeCell ref="H8:K8"/>
    <mergeCell ref="H10:K10"/>
    <mergeCell ref="G13:H13"/>
    <mergeCell ref="G15:H15"/>
    <mergeCell ref="L10:N10"/>
    <mergeCell ref="D11:F11"/>
    <mergeCell ref="D13:F13"/>
    <mergeCell ref="D15:F15"/>
    <mergeCell ref="D17:F17"/>
    <mergeCell ref="A1:O1"/>
    <mergeCell ref="B5:O6"/>
    <mergeCell ref="O2:Q3"/>
  </mergeCells>
  <phoneticPr fontId="2"/>
  <conditionalFormatting sqref="A81:G86">
    <cfRule type="expression" dxfId="153" priority="14">
      <formula>$F$54&lt;1</formula>
    </cfRule>
  </conditionalFormatting>
  <conditionalFormatting sqref="A87:G92">
    <cfRule type="expression" dxfId="152" priority="15">
      <formula>$F$54&lt;2</formula>
    </cfRule>
  </conditionalFormatting>
  <conditionalFormatting sqref="A93:G98">
    <cfRule type="expression" dxfId="151" priority="16">
      <formula>$F$54&lt;3</formula>
    </cfRule>
  </conditionalFormatting>
  <conditionalFormatting sqref="A99:G104">
    <cfRule type="expression" dxfId="150" priority="17">
      <formula>$F$54&lt;4</formula>
    </cfRule>
  </conditionalFormatting>
  <conditionalFormatting sqref="A105:G110">
    <cfRule type="expression" dxfId="149" priority="18">
      <formula>$F$54&lt;5</formula>
    </cfRule>
  </conditionalFormatting>
  <conditionalFormatting sqref="A111:G116">
    <cfRule type="expression" dxfId="148" priority="19">
      <formula>$F$54&lt;6</formula>
    </cfRule>
  </conditionalFormatting>
  <conditionalFormatting sqref="A117:G122">
    <cfRule type="expression" dxfId="147" priority="20">
      <formula>$F$54&lt;7</formula>
    </cfRule>
  </conditionalFormatting>
  <conditionalFormatting sqref="A123:G128">
    <cfRule type="expression" dxfId="146" priority="21">
      <formula>$F$54&lt;8</formula>
    </cfRule>
  </conditionalFormatting>
  <conditionalFormatting sqref="A129:G133">
    <cfRule type="expression" dxfId="145" priority="22">
      <formula>$F$54&lt;9</formula>
    </cfRule>
  </conditionalFormatting>
  <conditionalFormatting sqref="A78:Q80">
    <cfRule type="expression" dxfId="144" priority="4">
      <formula>$F$54+$L$54&lt;1</formula>
    </cfRule>
  </conditionalFormatting>
  <conditionalFormatting sqref="B26 E26:F26">
    <cfRule type="expression" dxfId="142" priority="95">
      <formula>$F$25&lt;&gt;"特別の障がい者である"</formula>
    </cfRule>
  </conditionalFormatting>
  <conditionalFormatting sqref="B28:B31 E28:G31">
    <cfRule type="expression" dxfId="141" priority="92">
      <formula>$F$27="いいえ"</formula>
    </cfRule>
  </conditionalFormatting>
  <conditionalFormatting sqref="B40 L40">
    <cfRule type="expression" dxfId="140" priority="84">
      <formula>$F$36="はい"</formula>
    </cfRule>
  </conditionalFormatting>
  <conditionalFormatting sqref="B87">
    <cfRule type="expression" dxfId="139" priority="1">
      <formula>$F$54&lt;1</formula>
    </cfRule>
  </conditionalFormatting>
  <conditionalFormatting sqref="B17:K17">
    <cfRule type="expression" dxfId="136" priority="41">
      <formula>$I$15="その他"</formula>
    </cfRule>
  </conditionalFormatting>
  <conditionalFormatting sqref="E40:I40">
    <cfRule type="expression" dxfId="132" priority="49">
      <formula>$F$36="はい"</formula>
    </cfRule>
  </conditionalFormatting>
  <conditionalFormatting sqref="G37:G38 O51:O54 N52:N54 N55:O55">
    <cfRule type="expression" dxfId="126" priority="50">
      <formula>$F$36="いいえ"</formula>
    </cfRule>
  </conditionalFormatting>
  <conditionalFormatting sqref="H81:Q86">
    <cfRule type="expression" dxfId="123" priority="5">
      <formula>$L$54&lt;1</formula>
    </cfRule>
  </conditionalFormatting>
  <conditionalFormatting sqref="H87:Q92">
    <cfRule type="expression" dxfId="122" priority="6">
      <formula>$L$54&lt;2</formula>
    </cfRule>
  </conditionalFormatting>
  <conditionalFormatting sqref="H93:Q98">
    <cfRule type="expression" dxfId="121" priority="7">
      <formula>$L$54&lt;3</formula>
    </cfRule>
  </conditionalFormatting>
  <conditionalFormatting sqref="H99:Q104">
    <cfRule type="expression" dxfId="120" priority="8">
      <formula>$L$54&lt;4</formula>
    </cfRule>
  </conditionalFormatting>
  <conditionalFormatting sqref="H105:Q110">
    <cfRule type="expression" dxfId="119" priority="9">
      <formula>$L$54&lt;5</formula>
    </cfRule>
  </conditionalFormatting>
  <conditionalFormatting sqref="H111:Q116">
    <cfRule type="expression" dxfId="118" priority="11">
      <formula>$L$54&lt;6</formula>
    </cfRule>
  </conditionalFormatting>
  <conditionalFormatting sqref="H117:Q122">
    <cfRule type="expression" dxfId="117" priority="12">
      <formula>$L$54&lt;7</formula>
    </cfRule>
  </conditionalFormatting>
  <conditionalFormatting sqref="H123:Q128">
    <cfRule type="expression" dxfId="116" priority="13">
      <formula>$L$54&lt;8</formula>
    </cfRule>
  </conditionalFormatting>
  <conditionalFormatting sqref="H129:Q133">
    <cfRule type="expression" dxfId="115" priority="24">
      <formula>$L$54&lt;9</formula>
    </cfRule>
  </conditionalFormatting>
  <conditionalFormatting sqref="K51:L60">
    <cfRule type="expression" dxfId="104" priority="34">
      <formula>$L$33=""</formula>
    </cfRule>
  </conditionalFormatting>
  <conditionalFormatting sqref="K34:M40 B37:B38 E37:F38 H37:I38 K42:M48">
    <cfRule type="expression" dxfId="103" priority="88">
      <formula>$L$33=""</formula>
    </cfRule>
  </conditionalFormatting>
  <conditionalFormatting sqref="L82:M85">
    <cfRule type="expression" dxfId="102" priority="33">
      <formula>$L$33=""</formula>
    </cfRule>
  </conditionalFormatting>
  <conditionalFormatting sqref="L75:O75 F76:F77 M76:O77">
    <cfRule type="expression" dxfId="101" priority="91">
      <formula>OR($F$36="いいえ",$F$37="いいえ")</formula>
    </cfRule>
  </conditionalFormatting>
  <conditionalFormatting sqref="M51:M53 M55:M60">
    <cfRule type="expression" dxfId="100" priority="44">
      <formula>$F$36="いいえ"</formula>
    </cfRule>
  </conditionalFormatting>
  <conditionalFormatting sqref="M88 L89 M90 L91">
    <cfRule type="expression" dxfId="99" priority="32">
      <formula>$L$33=""</formula>
    </cfRule>
  </conditionalFormatting>
  <conditionalFormatting sqref="M94 L95 M96 L97">
    <cfRule type="expression" dxfId="98" priority="31">
      <formula>$L$33=""</formula>
    </cfRule>
  </conditionalFormatting>
  <conditionalFormatting sqref="M100 L101 M102 L103">
    <cfRule type="expression" dxfId="97" priority="30">
      <formula>$L$33=""</formula>
    </cfRule>
  </conditionalFormatting>
  <conditionalFormatting sqref="M106 L107 M108 L109">
    <cfRule type="expression" dxfId="96" priority="29">
      <formula>$L$33=""</formula>
    </cfRule>
  </conditionalFormatting>
  <conditionalFormatting sqref="M112 L113 M114 L115">
    <cfRule type="expression" dxfId="95" priority="28">
      <formula>$L$33=""</formula>
    </cfRule>
  </conditionalFormatting>
  <conditionalFormatting sqref="M118 L119 M120 L121">
    <cfRule type="expression" dxfId="94" priority="27">
      <formula>$L$33=""</formula>
    </cfRule>
  </conditionalFormatting>
  <conditionalFormatting sqref="M124 L125 M126 L127">
    <cfRule type="expression" dxfId="93" priority="26">
      <formula>$L$33=""</formula>
    </cfRule>
  </conditionalFormatting>
  <conditionalFormatting sqref="M130 L131 M132 L133">
    <cfRule type="expression" dxfId="92" priority="25">
      <formula>$L$33=""</formula>
    </cfRule>
  </conditionalFormatting>
  <dataValidations count="7">
    <dataValidation type="whole" allowBlank="1" showInputMessage="1" showErrorMessage="1" sqref="H57:H60 F51:F60 L51:L60 H55 N55 N57:N60" xr:uid="{00000000-0002-0000-0000-000000000000}">
      <formula1>0</formula1>
      <formula2>99</formula2>
    </dataValidation>
    <dataValidation type="decimal" allowBlank="1" showInputMessage="1" showErrorMessage="1" sqref="H46 F44 H44 F46 L46 L44 H51 N51" xr:uid="{00000000-0002-0000-0000-000001000000}">
      <formula1>0</formula1>
      <formula2>999999999999999000000</formula2>
    </dataValidation>
    <dataValidation type="date" allowBlank="1" showInputMessage="1" showErrorMessage="1" sqref="H35 F35 L35" xr:uid="{00000000-0002-0000-0000-000002000000}">
      <formula1>1</formula1>
      <formula2>73051</formula2>
    </dataValidation>
    <dataValidation type="decimal" allowBlank="1" showInputMessage="1" showErrorMessage="1" sqref="H48 F31 L48 F48" xr:uid="{00000000-0002-0000-0000-000003000000}">
      <formula1>-999999999999999000000</formula1>
      <formula2>999999999999999000000</formula2>
    </dataValidation>
    <dataValidation type="date" allowBlank="1" showInputMessage="1" showErrorMessage="1" sqref="N13:N14 I13:I14 L8" xr:uid="{00000000-0002-0000-0000-000004000000}">
      <formula1>1</formula1>
      <formula2>401404</formula2>
    </dataValidation>
    <dataValidation type="whole" allowBlank="1" showInputMessage="1" showErrorMessage="1" sqref="D10:E10" xr:uid="{00000000-0002-0000-0000-000005000000}">
      <formula1>2000</formula1>
      <formula2>9999</formula2>
    </dataValidation>
    <dataValidation type="decimal" allowBlank="1" showInputMessage="1" showErrorMessage="1" sqref="F29" xr:uid="{00000000-0002-0000-0000-000006000000}">
      <formula1>0</formula1>
      <formula2>9.99999999999999E+23</formula2>
    </dataValidation>
  </dataValidations>
  <pageMargins left="0.43307086614173229" right="0.43307086614173229" top="0.35433070866141736" bottom="0.35433070866141736" header="0.11811023622047245" footer="0.11811023622047245"/>
  <pageSetup paperSize="9" fitToHeight="2" orientation="portrait" r:id="rId1"/>
  <rowBreaks count="2" manualBreakCount="2">
    <brk id="75" max="16" man="1"/>
    <brk id="77" max="16383" man="1"/>
  </rowBreaks>
  <colBreaks count="1" manualBreakCount="1">
    <brk id="16" max="130" man="1"/>
  </colBreaks>
  <drawing r:id="rId2"/>
  <extLst>
    <ext xmlns:x14="http://schemas.microsoft.com/office/spreadsheetml/2009/9/main" uri="{78C0D931-6437-407d-A8EE-F0AAD7539E65}">
      <x14:conditionalFormattings>
        <x14:conditionalFormatting xmlns:xm="http://schemas.microsoft.com/office/excel/2006/main">
          <x14:cfRule type="expression" priority="52" id="{CC23516B-02E0-44A0-BC13-F43B116E2360}">
            <xm:f>計算シート!$C$69=1</xm:f>
            <x14:dxf>
              <font>
                <b/>
                <i val="0"/>
                <color auto="1"/>
              </font>
            </x14:dxf>
          </x14:cfRule>
          <xm:sqref>A22</xm:sqref>
        </x14:conditionalFormatting>
        <x14:conditionalFormatting xmlns:xm="http://schemas.microsoft.com/office/excel/2006/main">
          <x14:cfRule type="expression" priority="53" id="{76CC0AD1-56C4-4499-B2E1-6A7EF706FBB4}">
            <xm:f>計算シート!$C$69=1</xm:f>
            <x14:dxf>
              <border>
                <left style="dotted">
                  <color auto="1"/>
                </left>
                <vertical/>
                <horizontal/>
              </border>
            </x14:dxf>
          </x14:cfRule>
          <xm:sqref>A22:A31</xm:sqref>
        </x14:conditionalFormatting>
        <x14:conditionalFormatting xmlns:xm="http://schemas.microsoft.com/office/excel/2006/main">
          <x14:cfRule type="expression" priority="54" id="{F879DC3C-62AB-4857-A7F5-CAED86E4BEB2}">
            <xm:f>計算シート!$C$69=1</xm:f>
            <x14:dxf>
              <border>
                <bottom style="dotted">
                  <color auto="1"/>
                </bottom>
                <vertical/>
                <horizontal/>
              </border>
            </x14:dxf>
          </x14:cfRule>
          <xm:sqref>A31:B31 E31:G31</xm:sqref>
        </x14:conditionalFormatting>
        <x14:conditionalFormatting xmlns:xm="http://schemas.microsoft.com/office/excel/2006/main">
          <x14:cfRule type="expression" priority="61" id="{61E2E4DC-7689-4A1B-97F8-A274F68C9FAE}">
            <xm:f>計算シート!$C$69=1</xm:f>
            <x14:dxf>
              <font>
                <color theme="0" tint="-4.9989318521683403E-2"/>
              </font>
              <fill>
                <patternFill>
                  <bgColor theme="0" tint="-4.9989318521683403E-2"/>
                </patternFill>
              </fill>
              <border>
                <left/>
                <right/>
                <top/>
                <bottom/>
              </border>
            </x14:dxf>
          </x14:cfRule>
          <xm:sqref>A22:D22 E22:G31 A23:B31</xm:sqref>
        </x14:conditionalFormatting>
        <x14:conditionalFormatting xmlns:xm="http://schemas.microsoft.com/office/excel/2006/main">
          <x14:cfRule type="expression" priority="56" id="{2312C93F-55F7-429F-9AB2-53D58214CE3E}">
            <xm:f>計算シート!$C$69=1</xm:f>
            <x14:dxf>
              <border>
                <left/>
                <right/>
                <top style="dotted">
                  <color auto="1"/>
                </top>
                <bottom/>
                <vertical/>
                <horizontal/>
              </border>
            </x14:dxf>
          </x14:cfRule>
          <xm:sqref>A22:G22</xm:sqref>
        </x14:conditionalFormatting>
        <x14:conditionalFormatting xmlns:xm="http://schemas.microsoft.com/office/excel/2006/main">
          <x14:cfRule type="expression" priority="2" id="{37FC0D04-7F8B-4CF8-AB52-0E1E0F1513B0}">
            <xm:f>計算シート!$C$51=0</xm:f>
            <x14:dxf>
              <font>
                <color theme="0" tint="-4.9989318521683403E-2"/>
              </font>
              <fill>
                <patternFill>
                  <bgColor theme="0" tint="-4.9989318521683403E-2"/>
                </patternFill>
              </fill>
            </x14:dxf>
          </x14:cfRule>
          <xm:sqref>A78:Q133</xm:sqref>
        </x14:conditionalFormatting>
        <x14:conditionalFormatting xmlns:xm="http://schemas.microsoft.com/office/excel/2006/main">
          <x14:cfRule type="expression" priority="153" id="{6B585947-5C5A-444B-9B6A-8D2797203799}">
            <xm:f>計算シート!C69=1</xm:f>
            <x14:dxf>
              <font>
                <color theme="0"/>
              </font>
              <border>
                <left/>
                <right/>
                <top/>
                <bottom/>
                <vertical/>
                <horizontal/>
              </border>
            </x14:dxf>
          </x14:cfRule>
          <xm:sqref>B17:C17</xm:sqref>
        </x14:conditionalFormatting>
        <x14:conditionalFormatting xmlns:xm="http://schemas.microsoft.com/office/excel/2006/main">
          <x14:cfRule type="expression" priority="3" id="{4065FBC6-A73F-4667-B4C1-39F1B86A6772}">
            <xm:f>計算シート!$C$51=0</xm:f>
            <x14:dxf>
              <font>
                <color theme="0" tint="-4.9989318521683403E-2"/>
              </font>
              <fill>
                <patternFill>
                  <bgColor theme="0" tint="-4.9989318521683403E-2"/>
                </patternFill>
              </fill>
            </x14:dxf>
          </x14:cfRule>
          <xm:sqref>B54:G54 L54:M54</xm:sqref>
        </x14:conditionalFormatting>
        <x14:conditionalFormatting xmlns:xm="http://schemas.microsoft.com/office/excel/2006/main">
          <x14:cfRule type="expression" priority="35" id="{AC3079FC-7027-4A9C-8E5A-F988B585EEA1}">
            <xm:f>OR($F$36="いいえ",計算シート!$C$69=1,$I$15="祖父",$I$15="祖母",$I$15="その他")</xm:f>
            <x14:dxf>
              <font>
                <color theme="0"/>
              </font>
              <border>
                <left/>
                <right/>
                <top/>
                <bottom/>
                <vertical/>
                <horizontal/>
              </border>
            </x14:dxf>
          </x14:cfRule>
          <xm:sqref>B17:N17</xm:sqref>
        </x14:conditionalFormatting>
        <x14:conditionalFormatting xmlns:xm="http://schemas.microsoft.com/office/excel/2006/main">
          <x14:cfRule type="expression" priority="155" id="{97B28681-1F58-4A94-81B2-544391A07B3E}">
            <xm:f>計算シート!C69=1</xm:f>
            <x14:dxf>
              <border>
                <bottom/>
                <vertical/>
                <horizontal/>
              </border>
            </x14:dxf>
          </x14:cfRule>
          <x14:cfRule type="expression" priority="40" id="{6B585947-5C5A-444B-9B6A-8D2797203799}">
            <xm:f>計算シート!E68=1</xm:f>
            <x14:dxf>
              <font>
                <color theme="0"/>
              </font>
              <border>
                <left/>
                <right/>
                <top/>
                <bottom/>
                <vertical/>
                <horizontal/>
              </border>
            </x14:dxf>
          </x14:cfRule>
          <xm:sqref>D17:K17</xm:sqref>
        </x14:conditionalFormatting>
        <x14:conditionalFormatting xmlns:xm="http://schemas.microsoft.com/office/excel/2006/main">
          <x14:cfRule type="expression" priority="104" id="{AD0A99A7-B1E6-4DC0-ACA6-4C376F396664}">
            <xm:f>計算シート!C69=1</xm:f>
            <x14:dxf>
              <font>
                <color theme="0" tint="-4.9989318521683403E-2"/>
              </font>
              <fill>
                <patternFill>
                  <bgColor theme="0" tint="-4.9989318521683403E-2"/>
                </patternFill>
              </fill>
            </x14:dxf>
          </x14:cfRule>
          <xm:sqref>F37</xm:sqref>
        </x14:conditionalFormatting>
        <x14:conditionalFormatting xmlns:xm="http://schemas.microsoft.com/office/excel/2006/main">
          <x14:cfRule type="expression" priority="115" id="{9AA7258F-9E79-447C-B5B9-279C57BEB1F1}">
            <xm:f>計算シート!C69=1</xm:f>
            <x14:dxf>
              <border>
                <bottom/>
                <vertical/>
                <horizontal/>
              </border>
            </x14:dxf>
          </x14:cfRule>
          <xm:sqref>G15:G16</xm:sqref>
        </x14:conditionalFormatting>
        <x14:conditionalFormatting xmlns:xm="http://schemas.microsoft.com/office/excel/2006/main">
          <x14:cfRule type="expression" priority="156" id="{97B28681-1F58-4A94-81B2-544391A07B3E}">
            <xm:f>計算シート!G68=1</xm:f>
            <x14:dxf>
              <border>
                <bottom/>
                <vertical/>
                <horizontal/>
              </border>
            </x14:dxf>
          </x14:cfRule>
          <x14:cfRule type="expression" priority="157" id="{9AA7258F-9E79-447C-B5B9-279C57BEB1F1}">
            <xm:f>計算シート!C70=1</xm:f>
            <x14:dxf>
              <border>
                <bottom/>
                <vertical/>
                <horizontal/>
              </border>
            </x14:dxf>
          </x14:cfRule>
          <xm:sqref>G17:G18</xm:sqref>
        </x14:conditionalFormatting>
        <x14:conditionalFormatting xmlns:xm="http://schemas.microsoft.com/office/excel/2006/main">
          <x14:cfRule type="expression" priority="55" id="{3C42DC4B-777F-4F05-B1F0-BA2C10ACA938}">
            <xm:f>計算シート!$C$69=1</xm:f>
            <x14:dxf>
              <border>
                <right style="dotted">
                  <color auto="1"/>
                </right>
                <vertical/>
                <horizontal/>
              </border>
            </x14:dxf>
          </x14:cfRule>
          <xm:sqref>G22:G31</xm:sqref>
        </x14:conditionalFormatting>
        <x14:conditionalFormatting xmlns:xm="http://schemas.microsoft.com/office/excel/2006/main">
          <x14:cfRule type="expression" priority="38" id="{5B7B19F5-6C8B-4AAD-A437-5413B93715BE}">
            <xm:f>計算シート!C69=1</xm:f>
            <x14:dxf>
              <border>
                <left style="hair">
                  <color auto="1"/>
                </left>
                <vertical/>
                <horizontal/>
              </border>
            </x14:dxf>
          </x14:cfRule>
          <xm:sqref>G15:H15</xm:sqref>
        </x14:conditionalFormatting>
        <x14:conditionalFormatting xmlns:xm="http://schemas.microsoft.com/office/excel/2006/main">
          <x14:cfRule type="expression" priority="59" id="{AD0A99A7-B1E6-4DC0-ACA6-4C376F396664}">
            <xm:f>計算シート!D69=1</xm:f>
            <x14:dxf>
              <font>
                <color theme="0" tint="-4.9989318521683403E-2"/>
              </font>
              <fill>
                <patternFill>
                  <bgColor theme="0" tint="-4.9989318521683403E-2"/>
                </patternFill>
              </fill>
            </x14:dxf>
          </x14:cfRule>
          <xm:sqref>H37</xm:sqref>
        </x14:conditionalFormatting>
        <x14:conditionalFormatting xmlns:xm="http://schemas.microsoft.com/office/excel/2006/main">
          <x14:cfRule type="expression" priority="57" id="{16233E96-A2DD-4726-AB21-E231E6DF204E}">
            <xm:f>計算シート!C69=1</xm:f>
            <x14:dxf>
              <border>
                <bottom/>
                <vertical/>
                <horizontal/>
              </border>
            </x14:dxf>
          </x14:cfRule>
          <xm:sqref>I13:I14</xm:sqref>
        </x14:conditionalFormatting>
        <x14:conditionalFormatting xmlns:xm="http://schemas.microsoft.com/office/excel/2006/main">
          <x14:cfRule type="expression" priority="159" id="{16233E96-A2DD-4726-AB21-E231E6DF204E}">
            <xm:f>計算シート!C70=1</xm:f>
            <x14:dxf>
              <border>
                <bottom/>
                <vertical/>
                <horizontal/>
              </border>
            </x14:dxf>
          </x14:cfRule>
          <x14:cfRule type="expression" priority="158" id="{9AA7258F-9E79-447C-B5B9-279C57BEB1F1}">
            <xm:f>計算シート!F68=1</xm:f>
            <x14:dxf>
              <border>
                <bottom/>
                <vertical/>
                <horizontal/>
              </border>
            </x14:dxf>
          </x14:cfRule>
          <xm:sqref>I15:I16</xm:sqref>
        </x14:conditionalFormatting>
        <x14:conditionalFormatting xmlns:xm="http://schemas.microsoft.com/office/excel/2006/main">
          <x14:cfRule type="expression" priority="231" id="{97B28681-1F58-4A94-81B2-544391A07B3E}">
            <xm:f>計算シート!J68=1</xm:f>
            <x14:dxf>
              <border>
                <bottom/>
                <vertical/>
                <horizontal/>
              </border>
            </x14:dxf>
          </x14:cfRule>
          <x14:cfRule type="expression" priority="232" id="{16233E96-A2DD-4726-AB21-E231E6DF204E}">
            <xm:f>計算シート!C71=1</xm:f>
            <x14:dxf>
              <border>
                <bottom/>
                <vertical/>
                <horizontal/>
              </border>
            </x14:dxf>
          </x14:cfRule>
          <x14:cfRule type="expression" priority="233" id="{9AA7258F-9E79-447C-B5B9-279C57BEB1F1}">
            <xm:f>計算シート!#REF!=1</xm:f>
            <x14:dxf>
              <border>
                <bottom/>
                <vertical/>
                <horizontal/>
              </border>
            </x14:dxf>
          </x14:cfRule>
          <xm:sqref>I17:I18</xm:sqref>
        </x14:conditionalFormatting>
        <x14:conditionalFormatting xmlns:xm="http://schemas.microsoft.com/office/excel/2006/main">
          <x14:cfRule type="expression" priority="163" id="{70422117-EAFE-4A92-A9CC-99DE717F740E}">
            <xm:f>計算シート!C69=1</xm:f>
            <x14:dxf>
              <font>
                <color theme="0"/>
              </font>
              <border>
                <bottom style="hair">
                  <color auto="1"/>
                </bottom>
                <vertical/>
                <horizontal/>
              </border>
            </x14:dxf>
          </x14:cfRule>
          <xm:sqref>I13:L13</xm:sqref>
        </x14:conditionalFormatting>
        <x14:conditionalFormatting xmlns:xm="http://schemas.microsoft.com/office/excel/2006/main">
          <x14:cfRule type="expression" priority="164" id="{800132D5-CFC1-4556-B6F3-8DB9E149395F}">
            <xm:f>計算シート!C69=1</xm:f>
            <x14:dxf>
              <font>
                <color theme="0"/>
              </font>
              <border>
                <bottom style="hair">
                  <color auto="1"/>
                </bottom>
                <vertical/>
                <horizontal/>
              </border>
            </x14:dxf>
          </x14:cfRule>
          <xm:sqref>I17:L17</xm:sqref>
        </x14:conditionalFormatting>
        <x14:conditionalFormatting xmlns:xm="http://schemas.microsoft.com/office/excel/2006/main">
          <x14:cfRule type="expression" priority="165" id="{744B2893-8987-4558-B5FD-3855283A1A50}">
            <xm:f>計算シート!C69=1</xm:f>
            <x14:dxf>
              <font>
                <color theme="0"/>
              </font>
              <border>
                <left/>
                <right/>
                <top/>
                <bottom/>
                <vertical/>
                <horizontal/>
              </border>
            </x14:dxf>
          </x14:cfRule>
          <xm:sqref>I15:N15</xm:sqref>
        </x14:conditionalFormatting>
        <x14:conditionalFormatting xmlns:xm="http://schemas.microsoft.com/office/excel/2006/main">
          <x14:cfRule type="expression" priority="126" id="{16233E96-A2DD-4726-AB21-E231E6DF204E}">
            <xm:f>計算シート!C72=1</xm:f>
            <x14:dxf>
              <border>
                <bottom/>
                <vertical/>
                <horizontal/>
              </border>
            </x14:dxf>
          </x14:cfRule>
          <xm:sqref>K19:L19</xm:sqref>
        </x14:conditionalFormatting>
        <x14:conditionalFormatting xmlns:xm="http://schemas.microsoft.com/office/excel/2006/main">
          <x14:cfRule type="expression" priority="107" id="{16233E96-A2DD-4726-AB21-E231E6DF204E}">
            <xm:f>計算シート!E68=1</xm:f>
            <x14:dxf>
              <border>
                <bottom/>
                <vertical/>
                <horizontal/>
              </border>
            </x14:dxf>
          </x14:cfRule>
          <xm:sqref>N13:N14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7000000}">
          <x14:formula1>
            <xm:f>計算シート!$F$5:$F$7</xm:f>
          </x14:formula1>
          <xm:sqref>F39 F25 L39</xm:sqref>
        </x14:dataValidation>
        <x14:dataValidation type="list" allowBlank="1" showInputMessage="1" showErrorMessage="1" xr:uid="{00000000-0002-0000-0000-000008000000}">
          <x14:formula1>
            <xm:f>前年レート!$N$12:$N$74</xm:f>
          </x14:formula1>
          <xm:sqref>L47 F43 F47 F30 L43 F28 L45 F45 F82 F84 F88 F90 F94 F96 F100 F102 F106 F108 F112 F114 F118 F120 F124 F126 F130 F132 L88 L90 L94 L96 L100 L102 L106 L108 L112 L114 L118 L120 L124 L126 L130 L132</xm:sqref>
        </x14:dataValidation>
        <x14:dataValidation type="list" allowBlank="1" showInputMessage="1" showErrorMessage="1" xr:uid="{00000000-0002-0000-0000-000009000000}">
          <x14:formula1>
            <xm:f>計算シート!$F$15:$F$22</xm:f>
          </x14:formula1>
          <xm:sqref>L10</xm:sqref>
        </x14:dataValidation>
        <x14:dataValidation type="list" allowBlank="1" showInputMessage="1" showErrorMessage="1" xr:uid="{00000000-0002-0000-0000-00000A000000}">
          <x14:formula1>
            <xm:f>計算シート!$F$3:$F$4</xm:f>
          </x14:formula1>
          <xm:sqref>F26:F27 F36 F38</xm:sqref>
        </x14:dataValidation>
        <x14:dataValidation type="list" allowBlank="1" showInputMessage="1" showErrorMessage="1" xr:uid="{00000000-0002-0000-0000-00000B000000}">
          <x14:formula1>
            <xm:f>計算シート!$F$8:$F$10</xm:f>
          </x14:formula1>
          <xm:sqref>F40</xm:sqref>
        </x14:dataValidation>
        <x14:dataValidation type="list" allowBlank="1" showInputMessage="1" showErrorMessage="1" xr:uid="{00000000-0002-0000-0000-00000C000000}">
          <x14:formula1>
            <xm:f>計算シート!$F$11:$F$13</xm:f>
          </x14:formula1>
          <xm:sqref>F24</xm:sqref>
        </x14:dataValidation>
        <x14:dataValidation type="list" allowBlank="1" showInputMessage="1" showErrorMessage="1" xr:uid="{00000000-0002-0000-0000-00000D000000}">
          <x14:formula1>
            <xm:f>計算シート!$F$24:$F$25</xm:f>
          </x14:formula1>
          <xm:sqref>I17:J17</xm:sqref>
        </x14:dataValidation>
        <x14:dataValidation type="list" allowBlank="1" showInputMessage="1" showErrorMessage="1" xr:uid="{00000000-0002-0000-0000-00000E000000}">
          <x14:formula1>
            <xm:f>計算シート!$F$24:$F$29</xm:f>
          </x14:formula1>
          <xm:sqref>I16:J16 I18:J18</xm:sqref>
        </x14:dataValidation>
        <x14:dataValidation type="list" allowBlank="1" showInputMessage="1" showErrorMessage="1" xr:uid="{00000000-0002-0000-0000-000010000000}">
          <x14:formula1>
            <xm:f>計算シート!$F$24:$F$28</xm:f>
          </x14:formula1>
          <xm:sqref>I15:J15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32"/>
  <sheetViews>
    <sheetView zoomScaleNormal="100" workbookViewId="0">
      <selection activeCell="B29" sqref="B29"/>
    </sheetView>
  </sheetViews>
  <sheetFormatPr defaultRowHeight="13.5"/>
  <cols>
    <col min="2" max="2" width="9.5" style="39" bestFit="1" customWidth="1"/>
    <col min="4" max="4" width="46.5" bestFit="1" customWidth="1"/>
  </cols>
  <sheetData>
    <row r="1" spans="1:4">
      <c r="A1" s="35" t="s">
        <v>167</v>
      </c>
      <c r="B1" s="34" t="s">
        <v>50</v>
      </c>
      <c r="C1" s="35" t="s">
        <v>51</v>
      </c>
      <c r="D1" s="35" t="s">
        <v>52</v>
      </c>
    </row>
    <row r="2" spans="1:4">
      <c r="A2" s="35">
        <v>1</v>
      </c>
      <c r="B2" s="34">
        <v>9000000</v>
      </c>
      <c r="C2" s="35" t="s">
        <v>53</v>
      </c>
      <c r="D2" s="35" t="s">
        <v>54</v>
      </c>
    </row>
    <row r="3" spans="1:4">
      <c r="A3" s="35">
        <v>2</v>
      </c>
      <c r="B3" s="34">
        <v>9500000</v>
      </c>
      <c r="C3" s="35" t="s">
        <v>53</v>
      </c>
      <c r="D3" s="35" t="s">
        <v>55</v>
      </c>
    </row>
    <row r="4" spans="1:4">
      <c r="A4" s="35">
        <v>3</v>
      </c>
      <c r="B4" s="34">
        <v>10000000</v>
      </c>
      <c r="C4" s="35" t="s">
        <v>53</v>
      </c>
      <c r="D4" s="35" t="s">
        <v>56</v>
      </c>
    </row>
    <row r="5" spans="1:4">
      <c r="A5" s="35">
        <v>4</v>
      </c>
      <c r="B5" s="34">
        <v>480000</v>
      </c>
      <c r="C5" s="35" t="s">
        <v>53</v>
      </c>
      <c r="D5" s="35" t="s">
        <v>57</v>
      </c>
    </row>
    <row r="6" spans="1:4">
      <c r="A6" s="35">
        <v>5</v>
      </c>
      <c r="B6" s="34">
        <v>500000</v>
      </c>
      <c r="C6" s="35" t="s">
        <v>53</v>
      </c>
      <c r="D6" s="35" t="s">
        <v>58</v>
      </c>
    </row>
    <row r="7" spans="1:4">
      <c r="A7" s="35">
        <v>6</v>
      </c>
      <c r="B7" s="34">
        <v>550000</v>
      </c>
      <c r="C7" s="35" t="s">
        <v>53</v>
      </c>
      <c r="D7" s="35" t="s">
        <v>59</v>
      </c>
    </row>
    <row r="8" spans="1:4">
      <c r="A8" s="35">
        <v>7</v>
      </c>
      <c r="B8" s="34">
        <v>1000000</v>
      </c>
      <c r="C8" s="35" t="s">
        <v>53</v>
      </c>
      <c r="D8" s="35" t="s">
        <v>60</v>
      </c>
    </row>
    <row r="9" spans="1:4">
      <c r="A9" s="35">
        <v>8</v>
      </c>
      <c r="B9" s="34">
        <v>1050000</v>
      </c>
      <c r="C9" s="35" t="s">
        <v>53</v>
      </c>
      <c r="D9" s="35" t="s">
        <v>61</v>
      </c>
    </row>
    <row r="10" spans="1:4">
      <c r="A10" s="35">
        <v>9</v>
      </c>
      <c r="B10" s="36">
        <v>1100000</v>
      </c>
      <c r="C10" s="35" t="s">
        <v>53</v>
      </c>
      <c r="D10" s="35" t="s">
        <v>62</v>
      </c>
    </row>
    <row r="11" spans="1:4">
      <c r="A11" s="35">
        <v>10</v>
      </c>
      <c r="B11" s="36">
        <v>1150000</v>
      </c>
      <c r="C11" s="35" t="s">
        <v>53</v>
      </c>
      <c r="D11" s="35" t="s">
        <v>63</v>
      </c>
    </row>
    <row r="12" spans="1:4">
      <c r="A12" s="35">
        <v>11</v>
      </c>
      <c r="B12" s="36">
        <v>1200000</v>
      </c>
      <c r="C12" s="35" t="s">
        <v>53</v>
      </c>
      <c r="D12" s="35" t="s">
        <v>64</v>
      </c>
    </row>
    <row r="13" spans="1:4">
      <c r="A13" s="35">
        <v>12</v>
      </c>
      <c r="B13" s="36">
        <v>1250000</v>
      </c>
      <c r="C13" s="35" t="s">
        <v>53</v>
      </c>
      <c r="D13" s="35" t="s">
        <v>65</v>
      </c>
    </row>
    <row r="14" spans="1:4">
      <c r="A14" s="35">
        <v>13</v>
      </c>
      <c r="B14" s="36">
        <v>1300000</v>
      </c>
      <c r="C14" s="35" t="s">
        <v>53</v>
      </c>
      <c r="D14" s="35" t="s">
        <v>66</v>
      </c>
    </row>
    <row r="15" spans="1:4">
      <c r="A15" s="35">
        <v>14</v>
      </c>
      <c r="B15" s="36">
        <v>1330000</v>
      </c>
      <c r="C15" s="35" t="s">
        <v>53</v>
      </c>
      <c r="D15" s="35" t="s">
        <v>67</v>
      </c>
    </row>
    <row r="16" spans="1:4">
      <c r="A16" s="35">
        <v>15</v>
      </c>
      <c r="B16" s="34">
        <v>551000</v>
      </c>
      <c r="C16" s="35" t="s">
        <v>53</v>
      </c>
      <c r="D16" s="35" t="s">
        <v>68</v>
      </c>
    </row>
    <row r="17" spans="1:4">
      <c r="A17" s="35">
        <v>16</v>
      </c>
      <c r="B17" s="34">
        <v>1619000</v>
      </c>
      <c r="C17" s="35" t="s">
        <v>53</v>
      </c>
      <c r="D17" s="35" t="s">
        <v>69</v>
      </c>
    </row>
    <row r="18" spans="1:4">
      <c r="A18" s="35">
        <v>17</v>
      </c>
      <c r="B18" s="34">
        <v>1620000</v>
      </c>
      <c r="C18" s="35" t="s">
        <v>53</v>
      </c>
      <c r="D18" s="35" t="s">
        <v>70</v>
      </c>
    </row>
    <row r="19" spans="1:4">
      <c r="A19" s="35">
        <v>18</v>
      </c>
      <c r="B19" s="34">
        <v>1622000</v>
      </c>
      <c r="C19" s="35" t="s">
        <v>53</v>
      </c>
      <c r="D19" s="35" t="s">
        <v>71</v>
      </c>
    </row>
    <row r="20" spans="1:4">
      <c r="A20" s="35">
        <v>19</v>
      </c>
      <c r="B20" s="34">
        <v>1624000</v>
      </c>
      <c r="C20" s="35" t="s">
        <v>53</v>
      </c>
      <c r="D20" s="35" t="s">
        <v>72</v>
      </c>
    </row>
    <row r="21" spans="1:4">
      <c r="A21" s="35">
        <v>20</v>
      </c>
      <c r="B21" s="34">
        <v>1628000</v>
      </c>
      <c r="C21" s="35" t="s">
        <v>53</v>
      </c>
      <c r="D21" s="35" t="s">
        <v>73</v>
      </c>
    </row>
    <row r="22" spans="1:4">
      <c r="A22" s="35">
        <v>21</v>
      </c>
      <c r="B22" s="34">
        <v>1800000</v>
      </c>
      <c r="C22" s="35" t="s">
        <v>53</v>
      </c>
      <c r="D22" s="35" t="s">
        <v>74</v>
      </c>
    </row>
    <row r="23" spans="1:4">
      <c r="A23" s="35">
        <v>22</v>
      </c>
      <c r="B23" s="34">
        <v>3600000</v>
      </c>
      <c r="C23" s="35" t="s">
        <v>53</v>
      </c>
      <c r="D23" s="35" t="s">
        <v>75</v>
      </c>
    </row>
    <row r="24" spans="1:4">
      <c r="A24" s="35">
        <v>23</v>
      </c>
      <c r="B24" s="34">
        <v>6600000</v>
      </c>
      <c r="C24" s="35" t="s">
        <v>53</v>
      </c>
      <c r="D24" s="35" t="s">
        <v>76</v>
      </c>
    </row>
    <row r="25" spans="1:4">
      <c r="A25" s="35">
        <v>24</v>
      </c>
      <c r="B25" s="34">
        <v>8500000</v>
      </c>
      <c r="C25" s="35" t="s">
        <v>53</v>
      </c>
      <c r="D25" s="35" t="s">
        <v>77</v>
      </c>
    </row>
    <row r="26" spans="1:4">
      <c r="A26" s="35">
        <v>74</v>
      </c>
      <c r="B26" s="35">
        <v>24000000</v>
      </c>
      <c r="C26" s="35" t="s">
        <v>53</v>
      </c>
      <c r="D26" s="35" t="s">
        <v>476</v>
      </c>
    </row>
    <row r="27" spans="1:4">
      <c r="A27" s="35">
        <v>75</v>
      </c>
      <c r="B27" s="35">
        <v>24500000</v>
      </c>
      <c r="C27" s="35" t="s">
        <v>53</v>
      </c>
      <c r="D27" s="35" t="s">
        <v>477</v>
      </c>
    </row>
    <row r="28" spans="1:4">
      <c r="A28" s="35">
        <v>76</v>
      </c>
      <c r="B28" s="35">
        <v>25000000</v>
      </c>
      <c r="C28" s="35" t="s">
        <v>53</v>
      </c>
      <c r="D28" s="35" t="s">
        <v>478</v>
      </c>
    </row>
    <row r="29" spans="1:4">
      <c r="A29" s="35">
        <v>77</v>
      </c>
      <c r="B29" s="36">
        <v>10000000</v>
      </c>
      <c r="C29" s="35" t="s">
        <v>53</v>
      </c>
      <c r="D29" s="35" t="s">
        <v>479</v>
      </c>
    </row>
    <row r="30" spans="1:4">
      <c r="A30" s="35">
        <v>78</v>
      </c>
      <c r="B30" s="36">
        <v>100000</v>
      </c>
      <c r="C30" s="35" t="s">
        <v>53</v>
      </c>
      <c r="D30" s="35" t="s">
        <v>480</v>
      </c>
    </row>
    <row r="31" spans="1:4">
      <c r="A31" s="163">
        <v>79</v>
      </c>
      <c r="B31" s="428">
        <v>580000</v>
      </c>
      <c r="C31" s="163" t="s">
        <v>53</v>
      </c>
      <c r="D31" s="163" t="s">
        <v>976</v>
      </c>
    </row>
    <row r="32" spans="1:4">
      <c r="A32" s="163">
        <v>80</v>
      </c>
      <c r="B32" s="428">
        <v>1900000</v>
      </c>
      <c r="C32" s="163" t="s">
        <v>53</v>
      </c>
      <c r="D32" s="163" t="s">
        <v>1046</v>
      </c>
    </row>
  </sheetData>
  <phoneticPr fontId="2"/>
  <pageMargins left="0.7" right="0.7" top="0.75" bottom="0.75" header="0.3" footer="0.3"/>
  <pageSetup paperSize="9" orientation="portrait" r:id="rId1"/>
  <headerFooter>
    <oddHeader>&amp;L&amp;A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62"/>
  <sheetViews>
    <sheetView zoomScaleNormal="100" workbookViewId="0">
      <selection activeCell="B52" sqref="B52"/>
    </sheetView>
  </sheetViews>
  <sheetFormatPr defaultRowHeight="13.5"/>
  <cols>
    <col min="2" max="2" width="50.25" bestFit="1" customWidth="1"/>
    <col min="3" max="3" width="9" customWidth="1"/>
    <col min="4" max="4" width="45.75" customWidth="1"/>
  </cols>
  <sheetData>
    <row r="1" spans="1:4">
      <c r="A1" s="35" t="s">
        <v>167</v>
      </c>
      <c r="B1" s="35" t="s">
        <v>50</v>
      </c>
      <c r="C1" s="35" t="s">
        <v>51</v>
      </c>
      <c r="D1" s="35" t="s">
        <v>52</v>
      </c>
    </row>
    <row r="2" spans="1:4">
      <c r="A2" s="35">
        <v>1</v>
      </c>
      <c r="B2" s="37">
        <v>0</v>
      </c>
      <c r="C2" s="35" t="s">
        <v>78</v>
      </c>
      <c r="D2" s="35" t="s">
        <v>79</v>
      </c>
    </row>
    <row r="3" spans="1:4">
      <c r="A3" s="35">
        <v>2</v>
      </c>
      <c r="B3" s="37" t="s">
        <v>462</v>
      </c>
      <c r="C3" s="35" t="s">
        <v>78</v>
      </c>
      <c r="D3" s="35" t="s">
        <v>80</v>
      </c>
    </row>
    <row r="4" spans="1:4">
      <c r="A4" s="35">
        <v>3</v>
      </c>
      <c r="B4" s="35">
        <v>1069000</v>
      </c>
      <c r="C4" s="35" t="s">
        <v>78</v>
      </c>
      <c r="D4" s="35" t="s">
        <v>81</v>
      </c>
    </row>
    <row r="5" spans="1:4">
      <c r="A5" s="35">
        <v>4</v>
      </c>
      <c r="B5" s="35">
        <v>1070000</v>
      </c>
      <c r="C5" s="35" t="s">
        <v>78</v>
      </c>
      <c r="D5" s="35" t="s">
        <v>82</v>
      </c>
    </row>
    <row r="6" spans="1:4">
      <c r="A6" s="35">
        <v>5</v>
      </c>
      <c r="B6" s="35">
        <v>1072000</v>
      </c>
      <c r="C6" s="35" t="s">
        <v>78</v>
      </c>
      <c r="D6" s="35" t="s">
        <v>83</v>
      </c>
    </row>
    <row r="7" spans="1:4">
      <c r="A7" s="35">
        <v>6</v>
      </c>
      <c r="B7" s="35">
        <v>1074000</v>
      </c>
      <c r="C7" s="35" t="s">
        <v>78</v>
      </c>
      <c r="D7" s="35" t="s">
        <v>84</v>
      </c>
    </row>
    <row r="8" spans="1:4">
      <c r="A8" s="35">
        <v>7</v>
      </c>
      <c r="B8" s="37" t="s">
        <v>463</v>
      </c>
      <c r="C8" s="35" t="s">
        <v>78</v>
      </c>
      <c r="D8" s="35" t="s">
        <v>85</v>
      </c>
    </row>
    <row r="9" spans="1:4">
      <c r="A9" s="35">
        <v>8</v>
      </c>
      <c r="B9" s="37" t="s">
        <v>464</v>
      </c>
      <c r="C9" s="35" t="s">
        <v>78</v>
      </c>
      <c r="D9" s="35" t="s">
        <v>86</v>
      </c>
    </row>
    <row r="10" spans="1:4">
      <c r="A10" s="35">
        <v>9</v>
      </c>
      <c r="B10" s="37" t="s">
        <v>465</v>
      </c>
      <c r="C10" s="35" t="s">
        <v>78</v>
      </c>
      <c r="D10" s="35" t="s">
        <v>87</v>
      </c>
    </row>
    <row r="11" spans="1:4">
      <c r="A11" s="35">
        <v>10</v>
      </c>
      <c r="B11" s="37" t="s">
        <v>466</v>
      </c>
      <c r="C11" s="35" t="s">
        <v>78</v>
      </c>
      <c r="D11" s="35" t="s">
        <v>88</v>
      </c>
    </row>
    <row r="12" spans="1:4">
      <c r="A12" s="35">
        <v>11</v>
      </c>
      <c r="B12" s="37" t="s">
        <v>468</v>
      </c>
      <c r="C12" s="35" t="s">
        <v>78</v>
      </c>
      <c r="D12" s="35" t="s">
        <v>89</v>
      </c>
    </row>
    <row r="13" spans="1:4">
      <c r="A13" s="35">
        <v>12</v>
      </c>
      <c r="B13" s="37">
        <v>550000</v>
      </c>
      <c r="C13" s="35" t="s">
        <v>53</v>
      </c>
      <c r="D13" s="35" t="s">
        <v>470</v>
      </c>
    </row>
    <row r="14" spans="1:4">
      <c r="A14" s="35">
        <v>13</v>
      </c>
      <c r="B14" s="37">
        <v>-100000</v>
      </c>
      <c r="C14" s="35" t="s">
        <v>53</v>
      </c>
      <c r="D14" s="35" t="s">
        <v>471</v>
      </c>
    </row>
    <row r="15" spans="1:4">
      <c r="A15" s="35">
        <v>14</v>
      </c>
      <c r="B15" s="37">
        <v>80000</v>
      </c>
      <c r="C15" s="35" t="s">
        <v>53</v>
      </c>
      <c r="D15" s="35" t="s">
        <v>472</v>
      </c>
    </row>
    <row r="16" spans="1:4">
      <c r="A16" s="35">
        <v>15</v>
      </c>
      <c r="B16" s="37">
        <v>440000</v>
      </c>
      <c r="C16" s="35" t="s">
        <v>53</v>
      </c>
      <c r="D16" s="35" t="s">
        <v>473</v>
      </c>
    </row>
    <row r="17" spans="1:4">
      <c r="A17" s="35">
        <v>16</v>
      </c>
      <c r="B17" s="37">
        <v>1100000</v>
      </c>
      <c r="C17" s="35" t="s">
        <v>53</v>
      </c>
      <c r="D17" s="35" t="s">
        <v>474</v>
      </c>
    </row>
    <row r="18" spans="1:4">
      <c r="A18" s="35">
        <v>17</v>
      </c>
      <c r="B18" s="37">
        <v>1950000</v>
      </c>
      <c r="C18" s="35" t="s">
        <v>53</v>
      </c>
      <c r="D18" s="35" t="s">
        <v>475</v>
      </c>
    </row>
    <row r="19" spans="1:4">
      <c r="A19" s="35">
        <v>18</v>
      </c>
      <c r="B19" s="37">
        <v>0.6</v>
      </c>
      <c r="C19" s="35" t="s">
        <v>53</v>
      </c>
      <c r="D19" s="35" t="s">
        <v>471</v>
      </c>
    </row>
    <row r="20" spans="1:4">
      <c r="A20" s="35">
        <v>19</v>
      </c>
      <c r="B20" s="37">
        <v>0.7</v>
      </c>
      <c r="C20" s="35" t="s">
        <v>53</v>
      </c>
      <c r="D20" s="35" t="s">
        <v>472</v>
      </c>
    </row>
    <row r="21" spans="1:4">
      <c r="A21" s="35">
        <v>20</v>
      </c>
      <c r="B21" s="37">
        <v>0.8</v>
      </c>
      <c r="C21" s="35" t="s">
        <v>53</v>
      </c>
      <c r="D21" s="35" t="s">
        <v>473</v>
      </c>
    </row>
    <row r="22" spans="1:4">
      <c r="A22" s="35">
        <v>21</v>
      </c>
      <c r="B22" s="37">
        <v>0.9</v>
      </c>
      <c r="C22" s="35" t="s">
        <v>53</v>
      </c>
      <c r="D22" s="35" t="s">
        <v>474</v>
      </c>
    </row>
    <row r="23" spans="1:4">
      <c r="A23" s="35">
        <v>1</v>
      </c>
      <c r="B23" s="34">
        <v>65</v>
      </c>
      <c r="C23" s="35" t="s">
        <v>53</v>
      </c>
      <c r="D23" s="38" t="s">
        <v>90</v>
      </c>
    </row>
    <row r="24" spans="1:4">
      <c r="A24" s="35">
        <v>2</v>
      </c>
      <c r="B24" s="34">
        <v>3300000</v>
      </c>
      <c r="C24" s="35" t="s">
        <v>53</v>
      </c>
      <c r="D24" s="38" t="s">
        <v>91</v>
      </c>
    </row>
    <row r="25" spans="1:4">
      <c r="A25" s="35">
        <v>3</v>
      </c>
      <c r="B25" s="34">
        <v>4100000</v>
      </c>
      <c r="C25" s="35" t="s">
        <v>53</v>
      </c>
      <c r="D25" s="38" t="s">
        <v>92</v>
      </c>
    </row>
    <row r="26" spans="1:4">
      <c r="A26" s="35">
        <v>4</v>
      </c>
      <c r="B26" s="34">
        <v>7700000</v>
      </c>
      <c r="C26" s="35" t="s">
        <v>53</v>
      </c>
      <c r="D26" s="38" t="s">
        <v>93</v>
      </c>
    </row>
    <row r="27" spans="1:4">
      <c r="A27" s="35">
        <v>5</v>
      </c>
      <c r="B27" s="34">
        <v>10000000</v>
      </c>
      <c r="C27" s="35" t="s">
        <v>53</v>
      </c>
      <c r="D27" s="38" t="s">
        <v>94</v>
      </c>
    </row>
    <row r="28" spans="1:4">
      <c r="A28" s="35">
        <v>6</v>
      </c>
      <c r="B28" s="34">
        <v>1300000</v>
      </c>
      <c r="C28" s="35" t="s">
        <v>53</v>
      </c>
      <c r="D28" s="38" t="s">
        <v>95</v>
      </c>
    </row>
    <row r="29" spans="1:4">
      <c r="A29" s="35">
        <v>7</v>
      </c>
      <c r="B29" s="34">
        <v>4100000</v>
      </c>
      <c r="C29" s="35" t="s">
        <v>53</v>
      </c>
      <c r="D29" s="38" t="s">
        <v>96</v>
      </c>
    </row>
    <row r="30" spans="1:4">
      <c r="A30" s="35">
        <v>8</v>
      </c>
      <c r="B30" s="34">
        <v>7700000</v>
      </c>
      <c r="C30" s="35" t="s">
        <v>53</v>
      </c>
      <c r="D30" s="38" t="s">
        <v>97</v>
      </c>
    </row>
    <row r="31" spans="1:4">
      <c r="A31" s="35">
        <v>9</v>
      </c>
      <c r="B31" s="34">
        <v>10000000</v>
      </c>
      <c r="C31" s="35" t="s">
        <v>53</v>
      </c>
      <c r="D31" s="38" t="s">
        <v>98</v>
      </c>
    </row>
    <row r="32" spans="1:4">
      <c r="A32" s="35">
        <v>10</v>
      </c>
      <c r="B32" s="34" t="s">
        <v>99</v>
      </c>
      <c r="C32" s="35" t="s">
        <v>53</v>
      </c>
      <c r="D32" s="38" t="s">
        <v>100</v>
      </c>
    </row>
    <row r="33" spans="1:4">
      <c r="A33" s="35">
        <v>11</v>
      </c>
      <c r="B33" s="34" t="s">
        <v>101</v>
      </c>
      <c r="C33" s="35" t="s">
        <v>53</v>
      </c>
      <c r="D33" s="38" t="s">
        <v>102</v>
      </c>
    </row>
    <row r="34" spans="1:4">
      <c r="A34" s="35">
        <v>12</v>
      </c>
      <c r="B34" s="34" t="s">
        <v>103</v>
      </c>
      <c r="C34" s="35" t="s">
        <v>53</v>
      </c>
      <c r="D34" s="38" t="s">
        <v>104</v>
      </c>
    </row>
    <row r="35" spans="1:4">
      <c r="A35" s="35">
        <v>13</v>
      </c>
      <c r="B35" s="34" t="s">
        <v>105</v>
      </c>
      <c r="C35" s="35" t="s">
        <v>53</v>
      </c>
      <c r="D35" s="38" t="s">
        <v>106</v>
      </c>
    </row>
    <row r="36" spans="1:4">
      <c r="A36" s="35">
        <v>14</v>
      </c>
      <c r="B36" s="34" t="s">
        <v>107</v>
      </c>
      <c r="C36" s="35" t="s">
        <v>53</v>
      </c>
      <c r="D36" s="38" t="s">
        <v>108</v>
      </c>
    </row>
    <row r="37" spans="1:4">
      <c r="A37" s="35">
        <v>15</v>
      </c>
      <c r="B37" s="34" t="s">
        <v>109</v>
      </c>
      <c r="C37" s="35" t="s">
        <v>53</v>
      </c>
      <c r="D37" s="38" t="s">
        <v>110</v>
      </c>
    </row>
    <row r="38" spans="1:4">
      <c r="A38" s="35">
        <v>16</v>
      </c>
      <c r="B38" s="34" t="s">
        <v>101</v>
      </c>
      <c r="C38" s="35" t="s">
        <v>53</v>
      </c>
      <c r="D38" s="38" t="s">
        <v>111</v>
      </c>
    </row>
    <row r="39" spans="1:4">
      <c r="A39" s="35">
        <v>17</v>
      </c>
      <c r="B39" s="34" t="s">
        <v>103</v>
      </c>
      <c r="C39" s="35" t="s">
        <v>53</v>
      </c>
      <c r="D39" s="38" t="s">
        <v>112</v>
      </c>
    </row>
    <row r="40" spans="1:4">
      <c r="A40" s="35">
        <v>18</v>
      </c>
      <c r="B40" s="34" t="s">
        <v>105</v>
      </c>
      <c r="C40" s="35" t="s">
        <v>53</v>
      </c>
      <c r="D40" s="38" t="s">
        <v>113</v>
      </c>
    </row>
    <row r="41" spans="1:4">
      <c r="A41" s="35">
        <v>19</v>
      </c>
      <c r="B41" s="34" t="s">
        <v>107</v>
      </c>
      <c r="C41" s="35" t="s">
        <v>53</v>
      </c>
      <c r="D41" s="38" t="s">
        <v>114</v>
      </c>
    </row>
    <row r="42" spans="1:4">
      <c r="A42" s="35">
        <v>20</v>
      </c>
      <c r="B42" s="34">
        <v>10000000</v>
      </c>
      <c r="C42" s="35" t="s">
        <v>53</v>
      </c>
      <c r="D42" s="38" t="s">
        <v>1026</v>
      </c>
    </row>
    <row r="43" spans="1:4">
      <c r="A43" s="35">
        <v>21</v>
      </c>
      <c r="B43" s="34">
        <v>20000000</v>
      </c>
      <c r="C43" s="35" t="s">
        <v>53</v>
      </c>
      <c r="D43" s="38" t="s">
        <v>1027</v>
      </c>
    </row>
    <row r="44" spans="1:4">
      <c r="A44" s="35">
        <v>22</v>
      </c>
      <c r="B44" s="34">
        <v>100000</v>
      </c>
      <c r="C44" s="35" t="s">
        <v>53</v>
      </c>
      <c r="D44" s="38" t="s">
        <v>1028</v>
      </c>
    </row>
    <row r="45" spans="1:4">
      <c r="A45" s="35">
        <v>23</v>
      </c>
      <c r="B45" s="34">
        <v>200000</v>
      </c>
      <c r="C45" s="35" t="s">
        <v>53</v>
      </c>
      <c r="D45" s="38" t="s">
        <v>1029</v>
      </c>
    </row>
    <row r="46" spans="1:4">
      <c r="A46" s="35">
        <v>24</v>
      </c>
      <c r="B46" s="35">
        <v>1100000</v>
      </c>
      <c r="C46" s="35" t="s">
        <v>53</v>
      </c>
      <c r="D46" s="38" t="s">
        <v>1030</v>
      </c>
    </row>
    <row r="47" spans="1:4">
      <c r="A47" s="35">
        <v>25</v>
      </c>
      <c r="B47" s="35">
        <v>275000</v>
      </c>
      <c r="C47" s="35" t="s">
        <v>53</v>
      </c>
      <c r="D47" s="38" t="s">
        <v>1031</v>
      </c>
    </row>
    <row r="48" spans="1:4">
      <c r="A48" s="35">
        <v>26</v>
      </c>
      <c r="B48" s="35">
        <v>685000</v>
      </c>
      <c r="C48" s="35" t="s">
        <v>53</v>
      </c>
      <c r="D48" s="38" t="s">
        <v>1032</v>
      </c>
    </row>
    <row r="49" spans="1:4">
      <c r="A49" s="35">
        <v>27</v>
      </c>
      <c r="B49" s="35">
        <v>1455000</v>
      </c>
      <c r="C49" s="35" t="s">
        <v>53</v>
      </c>
      <c r="D49" s="38" t="s">
        <v>1033</v>
      </c>
    </row>
    <row r="50" spans="1:4">
      <c r="A50" s="35">
        <v>28</v>
      </c>
      <c r="B50" s="35">
        <v>1995000</v>
      </c>
      <c r="C50" s="35" t="s">
        <v>53</v>
      </c>
      <c r="D50" s="38" t="s">
        <v>1034</v>
      </c>
    </row>
    <row r="51" spans="1:4">
      <c r="A51" s="35">
        <v>29</v>
      </c>
      <c r="B51" s="35">
        <v>600000</v>
      </c>
      <c r="C51" s="35" t="s">
        <v>53</v>
      </c>
      <c r="D51" s="38" t="s">
        <v>1035</v>
      </c>
    </row>
    <row r="52" spans="1:4">
      <c r="A52" s="35">
        <v>30</v>
      </c>
      <c r="B52" s="35">
        <v>275000</v>
      </c>
      <c r="C52" s="35" t="s">
        <v>53</v>
      </c>
      <c r="D52" s="38" t="s">
        <v>1036</v>
      </c>
    </row>
    <row r="53" spans="1:4">
      <c r="A53" s="35">
        <v>31</v>
      </c>
      <c r="B53" s="35">
        <v>685000</v>
      </c>
      <c r="C53" s="35" t="s">
        <v>53</v>
      </c>
      <c r="D53" s="38" t="s">
        <v>1037</v>
      </c>
    </row>
    <row r="54" spans="1:4">
      <c r="A54" s="35">
        <v>32</v>
      </c>
      <c r="B54" s="35">
        <v>1455000</v>
      </c>
      <c r="C54" s="35" t="s">
        <v>53</v>
      </c>
      <c r="D54" s="38" t="s">
        <v>1038</v>
      </c>
    </row>
    <row r="55" spans="1:4">
      <c r="A55" s="35">
        <v>33</v>
      </c>
      <c r="B55" s="429">
        <v>1995000</v>
      </c>
      <c r="C55" s="429" t="s">
        <v>53</v>
      </c>
      <c r="D55" s="38" t="s">
        <v>1039</v>
      </c>
    </row>
    <row r="56" spans="1:4">
      <c r="A56" s="35">
        <v>34</v>
      </c>
      <c r="B56" s="35">
        <v>0.75</v>
      </c>
      <c r="C56" s="35" t="s">
        <v>53</v>
      </c>
      <c r="D56" s="38" t="s">
        <v>1040</v>
      </c>
    </row>
    <row r="57" spans="1:4">
      <c r="A57" s="35">
        <v>35</v>
      </c>
      <c r="B57" s="35">
        <v>0.85</v>
      </c>
      <c r="C57" s="35" t="s">
        <v>53</v>
      </c>
      <c r="D57" s="38" t="s">
        <v>1041</v>
      </c>
    </row>
    <row r="58" spans="1:4">
      <c r="A58" s="35">
        <v>36</v>
      </c>
      <c r="B58" s="35">
        <v>0.95</v>
      </c>
      <c r="C58" s="35" t="s">
        <v>53</v>
      </c>
      <c r="D58" s="38" t="s">
        <v>1042</v>
      </c>
    </row>
    <row r="59" spans="1:4">
      <c r="A59" s="35">
        <v>37</v>
      </c>
      <c r="B59" s="35">
        <v>0.75</v>
      </c>
      <c r="C59" s="35" t="s">
        <v>53</v>
      </c>
      <c r="D59" s="38" t="s">
        <v>1043</v>
      </c>
    </row>
    <row r="60" spans="1:4">
      <c r="A60" s="35">
        <v>38</v>
      </c>
      <c r="B60" s="35">
        <v>0.85</v>
      </c>
      <c r="C60" s="35" t="s">
        <v>53</v>
      </c>
      <c r="D60" s="38" t="s">
        <v>1044</v>
      </c>
    </row>
    <row r="61" spans="1:4">
      <c r="A61" s="35">
        <v>39</v>
      </c>
      <c r="B61" s="35">
        <v>0.95</v>
      </c>
      <c r="C61" s="35" t="s">
        <v>53</v>
      </c>
      <c r="D61" s="38" t="s">
        <v>1045</v>
      </c>
    </row>
    <row r="62" spans="1:4">
      <c r="A62" s="163"/>
      <c r="B62" s="163">
        <v>650000</v>
      </c>
      <c r="C62" s="163" t="s">
        <v>53</v>
      </c>
      <c r="D62" s="163" t="s">
        <v>1047</v>
      </c>
    </row>
  </sheetData>
  <phoneticPr fontId="2"/>
  <pageMargins left="0.25" right="0.25" top="0.75" bottom="0.75" header="0.3" footer="0.3"/>
  <pageSetup paperSize="9" fitToHeight="0" orientation="portrait" r:id="rId1"/>
  <headerFooter>
    <oddHeader>&amp;L&amp;A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43"/>
  <sheetViews>
    <sheetView zoomScaleNormal="100" workbookViewId="0">
      <selection activeCell="B30" sqref="B30"/>
    </sheetView>
  </sheetViews>
  <sheetFormatPr defaultRowHeight="13.5"/>
  <cols>
    <col min="2" max="2" width="50.25" bestFit="1" customWidth="1"/>
    <col min="3" max="3" width="9" customWidth="1"/>
    <col min="4" max="4" width="45.75" customWidth="1"/>
  </cols>
  <sheetData>
    <row r="1" spans="1:4">
      <c r="A1" s="35" t="s">
        <v>167</v>
      </c>
      <c r="B1" s="35" t="s">
        <v>50</v>
      </c>
      <c r="C1" s="35" t="s">
        <v>51</v>
      </c>
      <c r="D1" s="35" t="s">
        <v>52</v>
      </c>
    </row>
    <row r="2" spans="1:4">
      <c r="A2" s="35">
        <v>1</v>
      </c>
      <c r="B2" s="37">
        <v>0</v>
      </c>
      <c r="C2" s="35" t="s">
        <v>78</v>
      </c>
      <c r="D2" s="163" t="s">
        <v>461</v>
      </c>
    </row>
    <row r="3" spans="1:4">
      <c r="A3" s="35">
        <v>2</v>
      </c>
      <c r="B3" s="297" t="s">
        <v>462</v>
      </c>
      <c r="C3" s="35" t="s">
        <v>78</v>
      </c>
      <c r="D3" s="35" t="s">
        <v>80</v>
      </c>
    </row>
    <row r="4" spans="1:4">
      <c r="A4" s="35">
        <v>3</v>
      </c>
      <c r="B4" s="163">
        <v>1069000</v>
      </c>
      <c r="C4" s="163" t="s">
        <v>53</v>
      </c>
      <c r="D4" s="35" t="s">
        <v>81</v>
      </c>
    </row>
    <row r="5" spans="1:4">
      <c r="A5" s="35">
        <v>4</v>
      </c>
      <c r="B5" s="163">
        <v>1070000</v>
      </c>
      <c r="C5" s="163" t="s">
        <v>53</v>
      </c>
      <c r="D5" s="35" t="s">
        <v>82</v>
      </c>
    </row>
    <row r="6" spans="1:4">
      <c r="A6" s="35">
        <v>5</v>
      </c>
      <c r="B6" s="163">
        <v>1072000</v>
      </c>
      <c r="C6" s="163" t="s">
        <v>53</v>
      </c>
      <c r="D6" s="35" t="s">
        <v>83</v>
      </c>
    </row>
    <row r="7" spans="1:4">
      <c r="A7" s="35">
        <v>6</v>
      </c>
      <c r="B7" s="163">
        <v>1074000</v>
      </c>
      <c r="C7" s="163" t="s">
        <v>53</v>
      </c>
      <c r="D7" s="35" t="s">
        <v>84</v>
      </c>
    </row>
    <row r="8" spans="1:4">
      <c r="A8" s="35">
        <v>7</v>
      </c>
      <c r="B8" s="297" t="s">
        <v>463</v>
      </c>
      <c r="C8" s="35" t="s">
        <v>78</v>
      </c>
      <c r="D8" s="35" t="s">
        <v>85</v>
      </c>
    </row>
    <row r="9" spans="1:4">
      <c r="A9" s="35">
        <v>8</v>
      </c>
      <c r="B9" s="297" t="s">
        <v>464</v>
      </c>
      <c r="C9" s="35" t="s">
        <v>78</v>
      </c>
      <c r="D9" s="35" t="s">
        <v>86</v>
      </c>
    </row>
    <row r="10" spans="1:4">
      <c r="A10" s="35">
        <v>9</v>
      </c>
      <c r="B10" s="297" t="s">
        <v>465</v>
      </c>
      <c r="C10" s="35" t="s">
        <v>78</v>
      </c>
      <c r="D10" s="35" t="s">
        <v>87</v>
      </c>
    </row>
    <row r="11" spans="1:4">
      <c r="A11" s="35">
        <v>10</v>
      </c>
      <c r="B11" s="297" t="s">
        <v>466</v>
      </c>
      <c r="C11" s="35" t="s">
        <v>78</v>
      </c>
      <c r="D11" s="163" t="s">
        <v>467</v>
      </c>
    </row>
    <row r="12" spans="1:4">
      <c r="A12" s="35">
        <v>11</v>
      </c>
      <c r="B12" s="297" t="s">
        <v>468</v>
      </c>
      <c r="C12" s="35" t="s">
        <v>78</v>
      </c>
      <c r="D12" s="163" t="s">
        <v>469</v>
      </c>
    </row>
    <row r="13" spans="1:4">
      <c r="A13" s="163">
        <v>12</v>
      </c>
      <c r="B13" s="297">
        <v>550000</v>
      </c>
      <c r="C13" s="163" t="s">
        <v>53</v>
      </c>
      <c r="D13" s="163" t="s">
        <v>470</v>
      </c>
    </row>
    <row r="14" spans="1:4">
      <c r="A14" s="163">
        <v>13</v>
      </c>
      <c r="B14" s="297">
        <v>-100000</v>
      </c>
      <c r="C14" s="163" t="s">
        <v>53</v>
      </c>
      <c r="D14" s="163" t="s">
        <v>471</v>
      </c>
    </row>
    <row r="15" spans="1:4">
      <c r="A15" s="163">
        <v>14</v>
      </c>
      <c r="B15" s="297">
        <v>80000</v>
      </c>
      <c r="C15" s="163" t="s">
        <v>53</v>
      </c>
      <c r="D15" s="163" t="s">
        <v>472</v>
      </c>
    </row>
    <row r="16" spans="1:4">
      <c r="A16" s="163">
        <v>15</v>
      </c>
      <c r="B16" s="297">
        <v>440000</v>
      </c>
      <c r="C16" s="163" t="s">
        <v>53</v>
      </c>
      <c r="D16" s="163" t="s">
        <v>473</v>
      </c>
    </row>
    <row r="17" spans="1:4">
      <c r="A17" s="163">
        <v>16</v>
      </c>
      <c r="B17" s="297">
        <v>1100000</v>
      </c>
      <c r="C17" s="163" t="s">
        <v>53</v>
      </c>
      <c r="D17" s="163" t="s">
        <v>474</v>
      </c>
    </row>
    <row r="18" spans="1:4">
      <c r="A18" s="163">
        <v>17</v>
      </c>
      <c r="B18" s="297">
        <v>1950000</v>
      </c>
      <c r="C18" s="163" t="s">
        <v>53</v>
      </c>
      <c r="D18" s="163" t="s">
        <v>475</v>
      </c>
    </row>
    <row r="19" spans="1:4">
      <c r="A19" s="163">
        <v>18</v>
      </c>
      <c r="B19" s="297">
        <v>0.6</v>
      </c>
      <c r="C19" s="163" t="s">
        <v>53</v>
      </c>
      <c r="D19" s="163" t="s">
        <v>471</v>
      </c>
    </row>
    <row r="20" spans="1:4">
      <c r="A20" s="163">
        <v>19</v>
      </c>
      <c r="B20" s="297">
        <v>0.7</v>
      </c>
      <c r="C20" s="163" t="s">
        <v>53</v>
      </c>
      <c r="D20" s="163" t="s">
        <v>472</v>
      </c>
    </row>
    <row r="21" spans="1:4">
      <c r="A21" s="163">
        <v>20</v>
      </c>
      <c r="B21" s="297">
        <v>0.8</v>
      </c>
      <c r="C21" s="163" t="s">
        <v>53</v>
      </c>
      <c r="D21" s="163" t="s">
        <v>473</v>
      </c>
    </row>
    <row r="22" spans="1:4">
      <c r="A22" s="163">
        <v>21</v>
      </c>
      <c r="B22" s="297">
        <v>0.9</v>
      </c>
      <c r="C22" s="163" t="s">
        <v>53</v>
      </c>
      <c r="D22" s="163" t="s">
        <v>474</v>
      </c>
    </row>
    <row r="23" spans="1:4">
      <c r="A23" s="35">
        <v>1</v>
      </c>
      <c r="B23" s="34">
        <v>65</v>
      </c>
      <c r="C23" s="35" t="s">
        <v>53</v>
      </c>
      <c r="D23" s="38" t="s">
        <v>90</v>
      </c>
    </row>
    <row r="24" spans="1:4">
      <c r="A24" s="35">
        <v>2</v>
      </c>
      <c r="B24" s="34">
        <v>3300000</v>
      </c>
      <c r="C24" s="35" t="s">
        <v>53</v>
      </c>
      <c r="D24" s="38" t="s">
        <v>91</v>
      </c>
    </row>
    <row r="25" spans="1:4">
      <c r="A25" s="35">
        <v>3</v>
      </c>
      <c r="B25" s="34">
        <v>4100000</v>
      </c>
      <c r="C25" s="35" t="s">
        <v>53</v>
      </c>
      <c r="D25" s="38" t="s">
        <v>92</v>
      </c>
    </row>
    <row r="26" spans="1:4">
      <c r="A26" s="35">
        <v>4</v>
      </c>
      <c r="B26" s="34">
        <v>7700000</v>
      </c>
      <c r="C26" s="35" t="s">
        <v>53</v>
      </c>
      <c r="D26" s="38" t="s">
        <v>93</v>
      </c>
    </row>
    <row r="27" spans="1:4">
      <c r="A27" s="35">
        <v>5</v>
      </c>
      <c r="B27" s="34">
        <v>10000000</v>
      </c>
      <c r="C27" s="35" t="s">
        <v>53</v>
      </c>
      <c r="D27" s="38" t="s">
        <v>94</v>
      </c>
    </row>
    <row r="28" spans="1:4">
      <c r="A28" s="35">
        <v>6</v>
      </c>
      <c r="B28" s="34">
        <v>1300000</v>
      </c>
      <c r="C28" s="35" t="s">
        <v>53</v>
      </c>
      <c r="D28" s="38" t="s">
        <v>95</v>
      </c>
    </row>
    <row r="29" spans="1:4">
      <c r="A29" s="35">
        <v>7</v>
      </c>
      <c r="B29" s="34">
        <v>4100000</v>
      </c>
      <c r="C29" s="35" t="s">
        <v>53</v>
      </c>
      <c r="D29" s="38" t="s">
        <v>96</v>
      </c>
    </row>
    <row r="30" spans="1:4">
      <c r="A30" s="35">
        <v>8</v>
      </c>
      <c r="B30" s="34">
        <v>7700000</v>
      </c>
      <c r="C30" s="35" t="s">
        <v>53</v>
      </c>
      <c r="D30" s="38" t="s">
        <v>97</v>
      </c>
    </row>
    <row r="31" spans="1:4">
      <c r="A31" s="35">
        <v>9</v>
      </c>
      <c r="B31" s="34">
        <v>10000000</v>
      </c>
      <c r="C31" s="35" t="s">
        <v>53</v>
      </c>
      <c r="D31" s="38" t="s">
        <v>98</v>
      </c>
    </row>
    <row r="32" spans="1:4">
      <c r="A32" s="35">
        <v>10</v>
      </c>
      <c r="B32" s="34" t="s">
        <v>99</v>
      </c>
      <c r="C32" s="35" t="s">
        <v>53</v>
      </c>
      <c r="D32" s="38" t="s">
        <v>100</v>
      </c>
    </row>
    <row r="33" spans="1:4">
      <c r="A33" s="35">
        <v>11</v>
      </c>
      <c r="B33" s="34" t="s">
        <v>101</v>
      </c>
      <c r="C33" s="35" t="s">
        <v>53</v>
      </c>
      <c r="D33" s="38" t="s">
        <v>102</v>
      </c>
    </row>
    <row r="34" spans="1:4">
      <c r="A34" s="35">
        <v>12</v>
      </c>
      <c r="B34" s="34" t="s">
        <v>103</v>
      </c>
      <c r="C34" s="35" t="s">
        <v>53</v>
      </c>
      <c r="D34" s="38" t="s">
        <v>104</v>
      </c>
    </row>
    <row r="35" spans="1:4">
      <c r="A35" s="35">
        <v>13</v>
      </c>
      <c r="B35" s="34" t="s">
        <v>105</v>
      </c>
      <c r="C35" s="35" t="s">
        <v>53</v>
      </c>
      <c r="D35" s="38" t="s">
        <v>106</v>
      </c>
    </row>
    <row r="36" spans="1:4">
      <c r="A36" s="35">
        <v>14</v>
      </c>
      <c r="B36" s="34" t="s">
        <v>107</v>
      </c>
      <c r="C36" s="35" t="s">
        <v>53</v>
      </c>
      <c r="D36" s="38" t="s">
        <v>108</v>
      </c>
    </row>
    <row r="37" spans="1:4">
      <c r="A37" s="35">
        <v>15</v>
      </c>
      <c r="B37" s="34" t="s">
        <v>109</v>
      </c>
      <c r="C37" s="35" t="s">
        <v>53</v>
      </c>
      <c r="D37" s="38" t="s">
        <v>110</v>
      </c>
    </row>
    <row r="38" spans="1:4">
      <c r="A38" s="35">
        <v>16</v>
      </c>
      <c r="B38" s="34" t="s">
        <v>101</v>
      </c>
      <c r="C38" s="35" t="s">
        <v>53</v>
      </c>
      <c r="D38" s="38" t="s">
        <v>111</v>
      </c>
    </row>
    <row r="39" spans="1:4">
      <c r="A39" s="35">
        <v>17</v>
      </c>
      <c r="B39" s="34" t="s">
        <v>103</v>
      </c>
      <c r="C39" s="35" t="s">
        <v>53</v>
      </c>
      <c r="D39" s="38" t="s">
        <v>112</v>
      </c>
    </row>
    <row r="40" spans="1:4">
      <c r="A40" s="35">
        <v>18</v>
      </c>
      <c r="B40" s="34" t="s">
        <v>105</v>
      </c>
      <c r="C40" s="35" t="s">
        <v>53</v>
      </c>
      <c r="D40" s="38" t="s">
        <v>113</v>
      </c>
    </row>
    <row r="41" spans="1:4">
      <c r="A41" s="35">
        <v>19</v>
      </c>
      <c r="B41" s="34" t="s">
        <v>107</v>
      </c>
      <c r="C41" s="35" t="s">
        <v>53</v>
      </c>
      <c r="D41" s="38" t="s">
        <v>114</v>
      </c>
    </row>
    <row r="42" spans="1:4">
      <c r="B42" t="s">
        <v>168</v>
      </c>
    </row>
    <row r="43" spans="1:4">
      <c r="B43" t="s">
        <v>169</v>
      </c>
    </row>
  </sheetData>
  <phoneticPr fontId="2"/>
  <pageMargins left="0.25" right="0.25" top="0.75" bottom="0.75" header="0.3" footer="0.3"/>
  <pageSetup paperSize="9" fitToHeight="0" orientation="portrait" r:id="rId1"/>
  <headerFooter>
    <oddHeader>&amp;L&amp;A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59"/>
  <sheetViews>
    <sheetView zoomScaleNormal="100" workbookViewId="0">
      <selection activeCell="B6" sqref="B6"/>
    </sheetView>
  </sheetViews>
  <sheetFormatPr defaultRowHeight="13.5"/>
  <cols>
    <col min="4" max="4" width="45" style="39" bestFit="1" customWidth="1"/>
  </cols>
  <sheetData>
    <row r="1" spans="1:5">
      <c r="A1" s="35" t="s">
        <v>167</v>
      </c>
      <c r="B1" s="35" t="s">
        <v>50</v>
      </c>
      <c r="C1" s="35" t="s">
        <v>51</v>
      </c>
      <c r="D1" s="34" t="s">
        <v>52</v>
      </c>
    </row>
    <row r="2" spans="1:5">
      <c r="A2" s="35">
        <v>1</v>
      </c>
      <c r="B2" s="163">
        <v>430000</v>
      </c>
      <c r="C2" s="35" t="s">
        <v>53</v>
      </c>
      <c r="D2" s="34" t="s">
        <v>31</v>
      </c>
    </row>
    <row r="3" spans="1:5">
      <c r="A3" s="35">
        <v>2</v>
      </c>
      <c r="B3" s="35">
        <v>330000</v>
      </c>
      <c r="C3" s="35" t="s">
        <v>53</v>
      </c>
      <c r="D3" s="34" t="s">
        <v>115</v>
      </c>
      <c r="E3" t="s">
        <v>170</v>
      </c>
    </row>
    <row r="4" spans="1:5">
      <c r="A4" s="35">
        <v>3</v>
      </c>
      <c r="B4" s="35">
        <v>220000</v>
      </c>
      <c r="C4" s="35" t="s">
        <v>53</v>
      </c>
      <c r="D4" s="34" t="s">
        <v>116</v>
      </c>
      <c r="E4" t="s">
        <v>171</v>
      </c>
    </row>
    <row r="5" spans="1:5">
      <c r="A5" s="35">
        <v>4</v>
      </c>
      <c r="B5" s="35">
        <v>110000</v>
      </c>
      <c r="C5" s="35" t="s">
        <v>53</v>
      </c>
      <c r="D5" s="34" t="s">
        <v>117</v>
      </c>
      <c r="E5" t="s">
        <v>172</v>
      </c>
    </row>
    <row r="6" spans="1:5">
      <c r="A6" s="35">
        <v>5</v>
      </c>
      <c r="B6" s="35">
        <v>380000</v>
      </c>
      <c r="C6" s="35" t="s">
        <v>53</v>
      </c>
      <c r="D6" s="34" t="s">
        <v>118</v>
      </c>
    </row>
    <row r="7" spans="1:5">
      <c r="A7" s="35">
        <v>6</v>
      </c>
      <c r="B7" s="35">
        <v>260000</v>
      </c>
      <c r="C7" s="35" t="s">
        <v>53</v>
      </c>
      <c r="D7" s="34" t="s">
        <v>119</v>
      </c>
    </row>
    <row r="8" spans="1:5">
      <c r="A8" s="35">
        <v>7</v>
      </c>
      <c r="B8" s="35">
        <v>130000</v>
      </c>
      <c r="C8" s="35" t="s">
        <v>53</v>
      </c>
      <c r="D8" s="34" t="s">
        <v>120</v>
      </c>
    </row>
    <row r="9" spans="1:5">
      <c r="A9" s="35">
        <v>8</v>
      </c>
      <c r="B9" s="35">
        <v>330000</v>
      </c>
      <c r="C9" s="35" t="s">
        <v>53</v>
      </c>
      <c r="D9" s="34" t="s">
        <v>121</v>
      </c>
      <c r="E9" t="s">
        <v>173</v>
      </c>
    </row>
    <row r="10" spans="1:5">
      <c r="A10" s="35">
        <v>9</v>
      </c>
      <c r="B10" s="35">
        <v>330000</v>
      </c>
      <c r="C10" s="35" t="s">
        <v>53</v>
      </c>
      <c r="D10" s="34" t="s">
        <v>122</v>
      </c>
      <c r="E10" t="s">
        <v>174</v>
      </c>
    </row>
    <row r="11" spans="1:5">
      <c r="A11" s="35">
        <v>10</v>
      </c>
      <c r="B11" s="35">
        <v>330000</v>
      </c>
      <c r="C11" s="35" t="s">
        <v>53</v>
      </c>
      <c r="D11" s="34" t="s">
        <v>123</v>
      </c>
      <c r="E11" t="s">
        <v>175</v>
      </c>
    </row>
    <row r="12" spans="1:5">
      <c r="A12" s="35">
        <v>11</v>
      </c>
      <c r="B12" s="35">
        <v>310000</v>
      </c>
      <c r="C12" s="35" t="s">
        <v>53</v>
      </c>
      <c r="D12" s="34" t="s">
        <v>124</v>
      </c>
      <c r="E12" t="s">
        <v>176</v>
      </c>
    </row>
    <row r="13" spans="1:5">
      <c r="A13" s="35">
        <v>12</v>
      </c>
      <c r="B13" s="35">
        <v>260000</v>
      </c>
      <c r="C13" s="35" t="s">
        <v>53</v>
      </c>
      <c r="D13" s="34" t="s">
        <v>125</v>
      </c>
      <c r="E13" t="s">
        <v>177</v>
      </c>
    </row>
    <row r="14" spans="1:5">
      <c r="A14" s="35">
        <v>13</v>
      </c>
      <c r="B14" s="35">
        <v>210000</v>
      </c>
      <c r="C14" s="35" t="s">
        <v>53</v>
      </c>
      <c r="D14" s="34" t="s">
        <v>126</v>
      </c>
      <c r="E14" t="s">
        <v>178</v>
      </c>
    </row>
    <row r="15" spans="1:5">
      <c r="A15" s="35">
        <v>14</v>
      </c>
      <c r="B15" s="35">
        <v>160000</v>
      </c>
      <c r="C15" s="35" t="s">
        <v>53</v>
      </c>
      <c r="D15" s="34" t="s">
        <v>127</v>
      </c>
      <c r="E15" t="s">
        <v>179</v>
      </c>
    </row>
    <row r="16" spans="1:5">
      <c r="A16" s="35">
        <v>15</v>
      </c>
      <c r="B16" s="35">
        <v>110000</v>
      </c>
      <c r="C16" s="35" t="s">
        <v>53</v>
      </c>
      <c r="D16" s="34" t="s">
        <v>128</v>
      </c>
      <c r="E16" t="s">
        <v>180</v>
      </c>
    </row>
    <row r="17" spans="1:5">
      <c r="A17" s="35">
        <v>16</v>
      </c>
      <c r="B17" s="35">
        <v>60000</v>
      </c>
      <c r="C17" s="35" t="s">
        <v>53</v>
      </c>
      <c r="D17" s="34" t="s">
        <v>129</v>
      </c>
      <c r="E17" t="s">
        <v>181</v>
      </c>
    </row>
    <row r="18" spans="1:5">
      <c r="A18" s="35">
        <v>17</v>
      </c>
      <c r="B18" s="35">
        <v>30000</v>
      </c>
      <c r="C18" s="35" t="s">
        <v>53</v>
      </c>
      <c r="D18" s="34" t="s">
        <v>130</v>
      </c>
      <c r="E18" t="s">
        <v>182</v>
      </c>
    </row>
    <row r="19" spans="1:5">
      <c r="A19" s="35">
        <v>18</v>
      </c>
      <c r="B19" s="35">
        <v>220000</v>
      </c>
      <c r="C19" s="35" t="s">
        <v>53</v>
      </c>
      <c r="D19" s="34" t="s">
        <v>131</v>
      </c>
      <c r="E19" t="s">
        <v>183</v>
      </c>
    </row>
    <row r="20" spans="1:5">
      <c r="A20" s="35">
        <v>19</v>
      </c>
      <c r="B20" s="35">
        <v>220000</v>
      </c>
      <c r="C20" s="35" t="s">
        <v>53</v>
      </c>
      <c r="D20" s="34" t="s">
        <v>132</v>
      </c>
      <c r="E20" t="s">
        <v>184</v>
      </c>
    </row>
    <row r="21" spans="1:5">
      <c r="A21" s="35">
        <v>20</v>
      </c>
      <c r="B21" s="35">
        <v>220000</v>
      </c>
      <c r="C21" s="35" t="s">
        <v>53</v>
      </c>
      <c r="D21" s="34" t="s">
        <v>133</v>
      </c>
      <c r="E21" t="s">
        <v>185</v>
      </c>
    </row>
    <row r="22" spans="1:5">
      <c r="A22" s="35">
        <v>21</v>
      </c>
      <c r="B22" s="35">
        <v>210000</v>
      </c>
      <c r="C22" s="35" t="s">
        <v>53</v>
      </c>
      <c r="D22" s="34" t="s">
        <v>134</v>
      </c>
      <c r="E22" t="s">
        <v>186</v>
      </c>
    </row>
    <row r="23" spans="1:5">
      <c r="A23" s="35">
        <v>22</v>
      </c>
      <c r="B23" s="35">
        <v>180000</v>
      </c>
      <c r="C23" s="35" t="s">
        <v>53</v>
      </c>
      <c r="D23" s="34" t="s">
        <v>135</v>
      </c>
      <c r="E23" t="s">
        <v>187</v>
      </c>
    </row>
    <row r="24" spans="1:5">
      <c r="A24" s="35">
        <v>23</v>
      </c>
      <c r="B24" s="35">
        <v>140000</v>
      </c>
      <c r="C24" s="35" t="s">
        <v>53</v>
      </c>
      <c r="D24" s="34" t="s">
        <v>136</v>
      </c>
      <c r="E24" t="s">
        <v>188</v>
      </c>
    </row>
    <row r="25" spans="1:5">
      <c r="A25" s="35">
        <v>24</v>
      </c>
      <c r="B25" s="35">
        <v>110000</v>
      </c>
      <c r="C25" s="35" t="s">
        <v>53</v>
      </c>
      <c r="D25" s="34" t="s">
        <v>137</v>
      </c>
      <c r="E25" t="s">
        <v>189</v>
      </c>
    </row>
    <row r="26" spans="1:5">
      <c r="A26" s="35">
        <v>25</v>
      </c>
      <c r="B26" s="35">
        <v>80000</v>
      </c>
      <c r="C26" s="35" t="s">
        <v>53</v>
      </c>
      <c r="D26" s="34" t="s">
        <v>138</v>
      </c>
      <c r="E26" t="s">
        <v>190</v>
      </c>
    </row>
    <row r="27" spans="1:5">
      <c r="A27" s="35">
        <v>26</v>
      </c>
      <c r="B27" s="35">
        <v>40000</v>
      </c>
      <c r="C27" s="35" t="s">
        <v>53</v>
      </c>
      <c r="D27" s="34" t="s">
        <v>139</v>
      </c>
      <c r="E27" t="s">
        <v>191</v>
      </c>
    </row>
    <row r="28" spans="1:5">
      <c r="A28" s="35">
        <v>27</v>
      </c>
      <c r="B28" s="35">
        <v>20000</v>
      </c>
      <c r="C28" s="35" t="s">
        <v>53</v>
      </c>
      <c r="D28" s="34" t="s">
        <v>140</v>
      </c>
      <c r="E28" t="s">
        <v>192</v>
      </c>
    </row>
    <row r="29" spans="1:5">
      <c r="A29" s="35">
        <v>28</v>
      </c>
      <c r="B29" s="35">
        <v>110000</v>
      </c>
      <c r="C29" s="35" t="s">
        <v>53</v>
      </c>
      <c r="D29" s="34" t="s">
        <v>141</v>
      </c>
      <c r="E29" t="s">
        <v>193</v>
      </c>
    </row>
    <row r="30" spans="1:5">
      <c r="A30" s="35">
        <v>29</v>
      </c>
      <c r="B30" s="35">
        <v>110000</v>
      </c>
      <c r="C30" s="35" t="s">
        <v>53</v>
      </c>
      <c r="D30" s="34" t="s">
        <v>142</v>
      </c>
      <c r="E30" t="s">
        <v>194</v>
      </c>
    </row>
    <row r="31" spans="1:5">
      <c r="A31" s="35">
        <v>30</v>
      </c>
      <c r="B31" s="35">
        <v>110000</v>
      </c>
      <c r="C31" s="35" t="s">
        <v>53</v>
      </c>
      <c r="D31" s="34" t="s">
        <v>143</v>
      </c>
      <c r="E31" t="s">
        <v>195</v>
      </c>
    </row>
    <row r="32" spans="1:5">
      <c r="A32" s="35">
        <v>31</v>
      </c>
      <c r="B32" s="35">
        <v>110000</v>
      </c>
      <c r="C32" s="35" t="s">
        <v>53</v>
      </c>
      <c r="D32" s="34" t="s">
        <v>144</v>
      </c>
      <c r="E32" t="s">
        <v>196</v>
      </c>
    </row>
    <row r="33" spans="1:5">
      <c r="A33" s="35">
        <v>32</v>
      </c>
      <c r="B33" s="35">
        <v>90000</v>
      </c>
      <c r="C33" s="35" t="s">
        <v>53</v>
      </c>
      <c r="D33" s="34" t="s">
        <v>145</v>
      </c>
      <c r="E33" t="s">
        <v>197</v>
      </c>
    </row>
    <row r="34" spans="1:5">
      <c r="A34" s="35">
        <v>33</v>
      </c>
      <c r="B34" s="35">
        <v>70000</v>
      </c>
      <c r="C34" s="35" t="s">
        <v>53</v>
      </c>
      <c r="D34" s="34" t="s">
        <v>146</v>
      </c>
      <c r="E34" t="s">
        <v>198</v>
      </c>
    </row>
    <row r="35" spans="1:5">
      <c r="A35" s="35">
        <v>34</v>
      </c>
      <c r="B35" s="35">
        <v>60000</v>
      </c>
      <c r="C35" s="35" t="s">
        <v>53</v>
      </c>
      <c r="D35" s="34" t="s">
        <v>147</v>
      </c>
      <c r="E35" t="s">
        <v>199</v>
      </c>
    </row>
    <row r="36" spans="1:5">
      <c r="A36" s="35">
        <v>35</v>
      </c>
      <c r="B36" s="35">
        <v>40000</v>
      </c>
      <c r="C36" s="35" t="s">
        <v>53</v>
      </c>
      <c r="D36" s="34" t="s">
        <v>148</v>
      </c>
      <c r="E36" t="s">
        <v>200</v>
      </c>
    </row>
    <row r="37" spans="1:5">
      <c r="A37" s="35">
        <v>36</v>
      </c>
      <c r="B37" s="35">
        <v>20000</v>
      </c>
      <c r="C37" s="35" t="s">
        <v>53</v>
      </c>
      <c r="D37" s="34" t="s">
        <v>149</v>
      </c>
      <c r="E37" t="s">
        <v>201</v>
      </c>
    </row>
    <row r="38" spans="1:5">
      <c r="A38" s="35">
        <v>37</v>
      </c>
      <c r="B38" s="35">
        <v>10000</v>
      </c>
      <c r="C38" s="35" t="s">
        <v>53</v>
      </c>
      <c r="D38" s="34" t="s">
        <v>150</v>
      </c>
      <c r="E38" t="s">
        <v>202</v>
      </c>
    </row>
    <row r="39" spans="1:5">
      <c r="A39" s="35">
        <v>38</v>
      </c>
      <c r="B39" s="35">
        <v>330000</v>
      </c>
      <c r="C39" s="35" t="s">
        <v>53</v>
      </c>
      <c r="D39" s="34" t="s">
        <v>18</v>
      </c>
    </row>
    <row r="40" spans="1:5">
      <c r="A40" s="35">
        <v>39</v>
      </c>
      <c r="B40" s="35">
        <v>450000</v>
      </c>
      <c r="C40" s="35" t="s">
        <v>53</v>
      </c>
      <c r="D40" s="34" t="s">
        <v>19</v>
      </c>
    </row>
    <row r="41" spans="1:5">
      <c r="A41" s="35">
        <v>40</v>
      </c>
      <c r="B41" s="35">
        <v>380000</v>
      </c>
      <c r="C41" s="35" t="s">
        <v>53</v>
      </c>
      <c r="D41" s="34" t="s">
        <v>20</v>
      </c>
    </row>
    <row r="42" spans="1:5">
      <c r="A42" s="35">
        <v>41</v>
      </c>
      <c r="B42" s="35">
        <v>450000</v>
      </c>
      <c r="C42" s="35" t="s">
        <v>53</v>
      </c>
      <c r="D42" s="34" t="s">
        <v>151</v>
      </c>
    </row>
    <row r="43" spans="1:5">
      <c r="A43" s="35">
        <v>42</v>
      </c>
      <c r="B43" s="35">
        <v>0</v>
      </c>
      <c r="C43" s="35" t="s">
        <v>53</v>
      </c>
      <c r="D43" s="34" t="s">
        <v>152</v>
      </c>
    </row>
    <row r="44" spans="1:5">
      <c r="A44" s="35">
        <v>43</v>
      </c>
      <c r="B44" s="35">
        <v>260000</v>
      </c>
      <c r="C44" s="35" t="s">
        <v>53</v>
      </c>
      <c r="D44" s="34" t="s">
        <v>22</v>
      </c>
    </row>
    <row r="45" spans="1:5">
      <c r="A45" s="35">
        <v>44</v>
      </c>
      <c r="B45" s="35">
        <v>300000</v>
      </c>
      <c r="C45" s="35" t="s">
        <v>53</v>
      </c>
      <c r="D45" s="34" t="s">
        <v>23</v>
      </c>
    </row>
    <row r="46" spans="1:5">
      <c r="A46" s="35">
        <v>45</v>
      </c>
      <c r="B46" s="35">
        <v>530000</v>
      </c>
      <c r="C46" s="35" t="s">
        <v>53</v>
      </c>
      <c r="D46" s="34" t="s">
        <v>24</v>
      </c>
    </row>
    <row r="47" spans="1:5">
      <c r="A47" s="35">
        <v>46</v>
      </c>
      <c r="B47" s="35">
        <v>260000</v>
      </c>
      <c r="C47" s="35" t="s">
        <v>53</v>
      </c>
      <c r="D47" s="34" t="s">
        <v>25</v>
      </c>
    </row>
    <row r="48" spans="1:5">
      <c r="A48" s="35">
        <v>47</v>
      </c>
      <c r="B48" s="35">
        <v>300000</v>
      </c>
      <c r="C48" s="35" t="s">
        <v>53</v>
      </c>
      <c r="D48" s="34" t="s">
        <v>153</v>
      </c>
    </row>
    <row r="49" spans="1:4">
      <c r="A49" s="35">
        <v>48</v>
      </c>
      <c r="B49" s="35">
        <v>260000</v>
      </c>
      <c r="C49" s="35" t="s">
        <v>53</v>
      </c>
      <c r="D49" s="34" t="s">
        <v>27</v>
      </c>
    </row>
    <row r="50" spans="1:4">
      <c r="A50" s="35">
        <v>49</v>
      </c>
      <c r="B50" s="35">
        <v>260000</v>
      </c>
      <c r="C50" s="35" t="s">
        <v>53</v>
      </c>
      <c r="D50" s="34" t="s">
        <v>154</v>
      </c>
    </row>
    <row r="51" spans="1:4">
      <c r="A51" s="35">
        <v>50</v>
      </c>
      <c r="B51" s="35">
        <v>350000</v>
      </c>
      <c r="C51" s="35" t="s">
        <v>53</v>
      </c>
      <c r="D51" s="34" t="s">
        <v>155</v>
      </c>
    </row>
    <row r="52" spans="1:4">
      <c r="A52" s="35">
        <v>51</v>
      </c>
      <c r="B52" s="35">
        <v>320000</v>
      </c>
      <c r="C52" s="35" t="s">
        <v>53</v>
      </c>
      <c r="D52" s="34" t="s">
        <v>156</v>
      </c>
    </row>
    <row r="53" spans="1:4">
      <c r="A53" s="35">
        <v>52</v>
      </c>
      <c r="B53" s="163">
        <v>1350000</v>
      </c>
      <c r="C53" s="35" t="s">
        <v>53</v>
      </c>
      <c r="D53" s="34" t="s">
        <v>157</v>
      </c>
    </row>
    <row r="54" spans="1:4">
      <c r="A54" s="35">
        <v>53</v>
      </c>
      <c r="B54" s="35">
        <v>5000000</v>
      </c>
      <c r="C54" s="35" t="s">
        <v>53</v>
      </c>
      <c r="D54" s="34" t="s">
        <v>158</v>
      </c>
    </row>
    <row r="55" spans="1:4">
      <c r="A55" s="34">
        <v>54</v>
      </c>
      <c r="B55" s="34">
        <v>150000</v>
      </c>
      <c r="C55" s="34" t="s">
        <v>53</v>
      </c>
      <c r="D55" s="36" t="s">
        <v>159</v>
      </c>
    </row>
    <row r="56" spans="1:4">
      <c r="A56" s="36">
        <v>55</v>
      </c>
      <c r="B56" s="36">
        <v>100000</v>
      </c>
      <c r="C56" s="36" t="s">
        <v>53</v>
      </c>
      <c r="D56" s="36" t="s">
        <v>160</v>
      </c>
    </row>
    <row r="57" spans="1:4">
      <c r="A57" s="34">
        <v>56</v>
      </c>
      <c r="B57" s="430">
        <v>750000</v>
      </c>
      <c r="C57" s="34" t="s">
        <v>53</v>
      </c>
      <c r="D57" s="36" t="s">
        <v>161</v>
      </c>
    </row>
    <row r="58" spans="1:4">
      <c r="A58" s="36">
        <v>57</v>
      </c>
      <c r="B58" s="36">
        <v>290000</v>
      </c>
      <c r="C58" s="36" t="s">
        <v>53</v>
      </c>
      <c r="D58" s="36" t="s">
        <v>481</v>
      </c>
    </row>
    <row r="59" spans="1:4">
      <c r="A59" s="36">
        <v>58</v>
      </c>
      <c r="B59" s="36">
        <v>150000</v>
      </c>
      <c r="C59" s="36" t="s">
        <v>53</v>
      </c>
      <c r="D59" s="36" t="s">
        <v>482</v>
      </c>
    </row>
  </sheetData>
  <phoneticPr fontId="2"/>
  <pageMargins left="0.7" right="0.7" top="0.75" bottom="0.75" header="0.3" footer="0.3"/>
  <pageSetup paperSize="9" orientation="portrait" r:id="rId1"/>
  <headerFooter>
    <oddHeader>&amp;L&amp;A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53"/>
  <sheetViews>
    <sheetView zoomScaleNormal="100" workbookViewId="0">
      <selection activeCell="D43" sqref="D43"/>
    </sheetView>
  </sheetViews>
  <sheetFormatPr defaultRowHeight="13.5"/>
  <cols>
    <col min="2" max="2" width="11.625" bestFit="1" customWidth="1"/>
    <col min="4" max="4" width="45" style="39" bestFit="1" customWidth="1"/>
  </cols>
  <sheetData>
    <row r="1" spans="1:5">
      <c r="A1" s="35" t="s">
        <v>167</v>
      </c>
      <c r="B1" s="35" t="s">
        <v>50</v>
      </c>
      <c r="C1" s="35" t="s">
        <v>51</v>
      </c>
      <c r="D1" s="34" t="s">
        <v>52</v>
      </c>
    </row>
    <row r="2" spans="1:5">
      <c r="A2" s="35">
        <v>1</v>
      </c>
      <c r="B2" s="35">
        <v>50000</v>
      </c>
      <c r="C2" s="35" t="s">
        <v>53</v>
      </c>
      <c r="D2" s="34" t="s">
        <v>31</v>
      </c>
    </row>
    <row r="3" spans="1:5">
      <c r="A3" s="35">
        <v>2</v>
      </c>
      <c r="B3" s="35">
        <v>50000</v>
      </c>
      <c r="C3" s="35" t="s">
        <v>53</v>
      </c>
      <c r="D3" s="34" t="s">
        <v>115</v>
      </c>
      <c r="E3" t="s">
        <v>203</v>
      </c>
    </row>
    <row r="4" spans="1:5">
      <c r="A4" s="35">
        <v>3</v>
      </c>
      <c r="B4" s="35">
        <v>40000</v>
      </c>
      <c r="C4" s="35" t="s">
        <v>53</v>
      </c>
      <c r="D4" s="34" t="s">
        <v>116</v>
      </c>
      <c r="E4" t="s">
        <v>203</v>
      </c>
    </row>
    <row r="5" spans="1:5">
      <c r="A5" s="35">
        <v>4</v>
      </c>
      <c r="B5" s="35">
        <v>20000</v>
      </c>
      <c r="C5" s="35" t="s">
        <v>53</v>
      </c>
      <c r="D5" s="34" t="s">
        <v>117</v>
      </c>
      <c r="E5" t="s">
        <v>203</v>
      </c>
    </row>
    <row r="6" spans="1:5">
      <c r="A6" s="35">
        <v>5</v>
      </c>
      <c r="B6" s="35">
        <v>100000</v>
      </c>
      <c r="C6" s="35" t="s">
        <v>53</v>
      </c>
      <c r="D6" s="34" t="s">
        <v>118</v>
      </c>
    </row>
    <row r="7" spans="1:5">
      <c r="A7" s="35">
        <v>6</v>
      </c>
      <c r="B7" s="35">
        <v>60000</v>
      </c>
      <c r="C7" s="35" t="s">
        <v>53</v>
      </c>
      <c r="D7" s="34" t="s">
        <v>119</v>
      </c>
    </row>
    <row r="8" spans="1:5">
      <c r="A8" s="35">
        <v>7</v>
      </c>
      <c r="B8" s="35">
        <v>30000</v>
      </c>
      <c r="C8" s="35" t="s">
        <v>53</v>
      </c>
      <c r="D8" s="34" t="s">
        <v>120</v>
      </c>
    </row>
    <row r="9" spans="1:5">
      <c r="A9" s="35">
        <v>8</v>
      </c>
      <c r="B9" s="35">
        <v>50000</v>
      </c>
      <c r="C9" s="35" t="s">
        <v>53</v>
      </c>
      <c r="D9" s="34" t="s">
        <v>121</v>
      </c>
      <c r="E9" t="s">
        <v>204</v>
      </c>
    </row>
    <row r="10" spans="1:5">
      <c r="A10" s="35">
        <v>9</v>
      </c>
      <c r="B10" s="35">
        <v>30000</v>
      </c>
      <c r="C10" s="35" t="s">
        <v>53</v>
      </c>
      <c r="D10" s="34" t="s">
        <v>122</v>
      </c>
      <c r="E10" t="s">
        <v>205</v>
      </c>
    </row>
    <row r="11" spans="1:5">
      <c r="A11" s="35">
        <v>10</v>
      </c>
      <c r="B11" s="35">
        <v>0</v>
      </c>
      <c r="C11" s="35" t="s">
        <v>53</v>
      </c>
      <c r="D11" s="34" t="s">
        <v>123</v>
      </c>
    </row>
    <row r="12" spans="1:5">
      <c r="A12" s="35">
        <v>11</v>
      </c>
      <c r="B12" s="35">
        <v>0</v>
      </c>
      <c r="C12" s="35" t="s">
        <v>53</v>
      </c>
      <c r="D12" s="34" t="s">
        <v>124</v>
      </c>
    </row>
    <row r="13" spans="1:5">
      <c r="A13" s="35">
        <v>12</v>
      </c>
      <c r="B13" s="35">
        <v>0</v>
      </c>
      <c r="C13" s="35" t="s">
        <v>53</v>
      </c>
      <c r="D13" s="34" t="s">
        <v>125</v>
      </c>
    </row>
    <row r="14" spans="1:5">
      <c r="A14" s="35">
        <v>13</v>
      </c>
      <c r="B14" s="35">
        <v>0</v>
      </c>
      <c r="C14" s="35" t="s">
        <v>53</v>
      </c>
      <c r="D14" s="34" t="s">
        <v>126</v>
      </c>
    </row>
    <row r="15" spans="1:5">
      <c r="A15" s="35">
        <v>14</v>
      </c>
      <c r="B15" s="35">
        <v>0</v>
      </c>
      <c r="C15" s="35" t="s">
        <v>53</v>
      </c>
      <c r="D15" s="34" t="s">
        <v>127</v>
      </c>
    </row>
    <row r="16" spans="1:5">
      <c r="A16" s="35">
        <v>15</v>
      </c>
      <c r="B16" s="35">
        <v>0</v>
      </c>
      <c r="C16" s="35" t="s">
        <v>53</v>
      </c>
      <c r="D16" s="34" t="s">
        <v>128</v>
      </c>
    </row>
    <row r="17" spans="1:5">
      <c r="A17" s="35">
        <v>16</v>
      </c>
      <c r="B17" s="35">
        <v>0</v>
      </c>
      <c r="C17" s="35" t="s">
        <v>53</v>
      </c>
      <c r="D17" s="34" t="s">
        <v>129</v>
      </c>
    </row>
    <row r="18" spans="1:5">
      <c r="A18" s="35">
        <v>17</v>
      </c>
      <c r="B18" s="35">
        <v>0</v>
      </c>
      <c r="C18" s="35" t="s">
        <v>53</v>
      </c>
      <c r="D18" s="34" t="s">
        <v>130</v>
      </c>
    </row>
    <row r="19" spans="1:5">
      <c r="A19" s="35">
        <v>18</v>
      </c>
      <c r="B19" s="35">
        <v>40000</v>
      </c>
      <c r="C19" s="35" t="s">
        <v>53</v>
      </c>
      <c r="D19" s="34" t="s">
        <v>131</v>
      </c>
      <c r="E19" t="s">
        <v>204</v>
      </c>
    </row>
    <row r="20" spans="1:5">
      <c r="A20" s="35">
        <v>19</v>
      </c>
      <c r="B20" s="35">
        <v>20000</v>
      </c>
      <c r="C20" s="35" t="s">
        <v>53</v>
      </c>
      <c r="D20" s="34" t="s">
        <v>132</v>
      </c>
      <c r="E20" t="s">
        <v>205</v>
      </c>
    </row>
    <row r="21" spans="1:5">
      <c r="A21" s="35">
        <v>20</v>
      </c>
      <c r="B21" s="35">
        <v>0</v>
      </c>
      <c r="C21" s="35" t="s">
        <v>53</v>
      </c>
      <c r="D21" s="34" t="s">
        <v>133</v>
      </c>
    </row>
    <row r="22" spans="1:5">
      <c r="A22" s="35">
        <v>21</v>
      </c>
      <c r="B22" s="35">
        <v>0</v>
      </c>
      <c r="C22" s="35" t="s">
        <v>53</v>
      </c>
      <c r="D22" s="34" t="s">
        <v>134</v>
      </c>
    </row>
    <row r="23" spans="1:5">
      <c r="A23" s="35">
        <v>22</v>
      </c>
      <c r="B23" s="35">
        <v>0</v>
      </c>
      <c r="C23" s="35" t="s">
        <v>53</v>
      </c>
      <c r="D23" s="34" t="s">
        <v>135</v>
      </c>
    </row>
    <row r="24" spans="1:5">
      <c r="A24" s="35">
        <v>23</v>
      </c>
      <c r="B24" s="35">
        <v>0</v>
      </c>
      <c r="C24" s="35" t="s">
        <v>53</v>
      </c>
      <c r="D24" s="34" t="s">
        <v>136</v>
      </c>
    </row>
    <row r="25" spans="1:5">
      <c r="A25" s="35">
        <v>24</v>
      </c>
      <c r="B25" s="35">
        <v>0</v>
      </c>
      <c r="C25" s="35" t="s">
        <v>53</v>
      </c>
      <c r="D25" s="34" t="s">
        <v>137</v>
      </c>
    </row>
    <row r="26" spans="1:5">
      <c r="A26" s="35">
        <v>25</v>
      </c>
      <c r="B26" s="35">
        <v>0</v>
      </c>
      <c r="C26" s="35" t="s">
        <v>53</v>
      </c>
      <c r="D26" s="34" t="s">
        <v>138</v>
      </c>
    </row>
    <row r="27" spans="1:5">
      <c r="A27" s="35">
        <v>26</v>
      </c>
      <c r="B27" s="35">
        <v>0</v>
      </c>
      <c r="C27" s="35" t="s">
        <v>53</v>
      </c>
      <c r="D27" s="34" t="s">
        <v>139</v>
      </c>
    </row>
    <row r="28" spans="1:5">
      <c r="A28" s="35">
        <v>27</v>
      </c>
      <c r="B28" s="35">
        <v>0</v>
      </c>
      <c r="C28" s="35" t="s">
        <v>53</v>
      </c>
      <c r="D28" s="34" t="s">
        <v>140</v>
      </c>
    </row>
    <row r="29" spans="1:5">
      <c r="A29" s="35">
        <v>28</v>
      </c>
      <c r="B29" s="35">
        <v>20000</v>
      </c>
      <c r="C29" s="35" t="s">
        <v>53</v>
      </c>
      <c r="D29" s="34" t="s">
        <v>141</v>
      </c>
      <c r="E29" t="s">
        <v>204</v>
      </c>
    </row>
    <row r="30" spans="1:5">
      <c r="A30" s="35">
        <v>29</v>
      </c>
      <c r="B30" s="35">
        <v>10000</v>
      </c>
      <c r="C30" s="35" t="s">
        <v>53</v>
      </c>
      <c r="D30" s="34" t="s">
        <v>142</v>
      </c>
      <c r="E30" t="s">
        <v>205</v>
      </c>
    </row>
    <row r="31" spans="1:5">
      <c r="A31" s="35">
        <v>30</v>
      </c>
      <c r="B31" s="35">
        <v>0</v>
      </c>
      <c r="C31" s="35" t="s">
        <v>53</v>
      </c>
      <c r="D31" s="34" t="s">
        <v>143</v>
      </c>
    </row>
    <row r="32" spans="1:5">
      <c r="A32" s="35">
        <v>31</v>
      </c>
      <c r="B32" s="35">
        <v>0</v>
      </c>
      <c r="C32" s="35" t="s">
        <v>53</v>
      </c>
      <c r="D32" s="34" t="s">
        <v>144</v>
      </c>
    </row>
    <row r="33" spans="1:4">
      <c r="A33" s="35">
        <v>32</v>
      </c>
      <c r="B33" s="35">
        <v>0</v>
      </c>
      <c r="C33" s="35" t="s">
        <v>53</v>
      </c>
      <c r="D33" s="34" t="s">
        <v>145</v>
      </c>
    </row>
    <row r="34" spans="1:4">
      <c r="A34" s="35">
        <v>33</v>
      </c>
      <c r="B34" s="35">
        <v>0</v>
      </c>
      <c r="C34" s="35" t="s">
        <v>53</v>
      </c>
      <c r="D34" s="34" t="s">
        <v>146</v>
      </c>
    </row>
    <row r="35" spans="1:4">
      <c r="A35" s="35">
        <v>34</v>
      </c>
      <c r="B35" s="35">
        <v>0</v>
      </c>
      <c r="C35" s="35" t="s">
        <v>53</v>
      </c>
      <c r="D35" s="34" t="s">
        <v>147</v>
      </c>
    </row>
    <row r="36" spans="1:4">
      <c r="A36" s="35">
        <v>35</v>
      </c>
      <c r="B36" s="35">
        <v>0</v>
      </c>
      <c r="C36" s="35" t="s">
        <v>53</v>
      </c>
      <c r="D36" s="34" t="s">
        <v>148</v>
      </c>
    </row>
    <row r="37" spans="1:4">
      <c r="A37" s="35">
        <v>36</v>
      </c>
      <c r="B37" s="35">
        <v>0</v>
      </c>
      <c r="C37" s="35" t="s">
        <v>53</v>
      </c>
      <c r="D37" s="34" t="s">
        <v>149</v>
      </c>
    </row>
    <row r="38" spans="1:4">
      <c r="A38" s="35">
        <v>37</v>
      </c>
      <c r="B38" s="35">
        <v>0</v>
      </c>
      <c r="C38" s="35" t="s">
        <v>53</v>
      </c>
      <c r="D38" s="34" t="s">
        <v>150</v>
      </c>
    </row>
    <row r="39" spans="1:4">
      <c r="A39" s="35">
        <v>38</v>
      </c>
      <c r="B39" s="35">
        <v>50000</v>
      </c>
      <c r="C39" s="35" t="s">
        <v>53</v>
      </c>
      <c r="D39" s="34" t="s">
        <v>18</v>
      </c>
    </row>
    <row r="40" spans="1:4">
      <c r="A40" s="35">
        <v>39</v>
      </c>
      <c r="B40" s="35">
        <v>180000</v>
      </c>
      <c r="C40" s="35" t="s">
        <v>53</v>
      </c>
      <c r="D40" s="34" t="s">
        <v>19</v>
      </c>
    </row>
    <row r="41" spans="1:4">
      <c r="A41" s="35">
        <v>40</v>
      </c>
      <c r="B41" s="35">
        <v>100000</v>
      </c>
      <c r="C41" s="35" t="s">
        <v>53</v>
      </c>
      <c r="D41" s="34" t="s">
        <v>20</v>
      </c>
    </row>
    <row r="42" spans="1:4">
      <c r="A42" s="35">
        <v>41</v>
      </c>
      <c r="B42" s="35">
        <v>130000</v>
      </c>
      <c r="C42" s="35" t="s">
        <v>53</v>
      </c>
      <c r="D42" s="34" t="s">
        <v>151</v>
      </c>
    </row>
    <row r="43" spans="1:4">
      <c r="A43" s="35">
        <v>42</v>
      </c>
      <c r="B43" s="35">
        <v>0</v>
      </c>
      <c r="C43" s="35" t="s">
        <v>53</v>
      </c>
      <c r="D43" s="34" t="s">
        <v>152</v>
      </c>
    </row>
    <row r="44" spans="1:4">
      <c r="A44" s="35">
        <v>43</v>
      </c>
      <c r="B44" s="35">
        <v>10000</v>
      </c>
      <c r="C44" s="35" t="s">
        <v>53</v>
      </c>
      <c r="D44" s="34" t="s">
        <v>22</v>
      </c>
    </row>
    <row r="45" spans="1:4">
      <c r="A45" s="35">
        <v>44</v>
      </c>
      <c r="B45" s="35">
        <v>100000</v>
      </c>
      <c r="C45" s="35" t="s">
        <v>53</v>
      </c>
      <c r="D45" s="34" t="s">
        <v>23</v>
      </c>
    </row>
    <row r="46" spans="1:4">
      <c r="A46" s="35">
        <v>45</v>
      </c>
      <c r="B46" s="35">
        <v>220000</v>
      </c>
      <c r="C46" s="35" t="s">
        <v>53</v>
      </c>
      <c r="D46" s="34" t="s">
        <v>24</v>
      </c>
    </row>
    <row r="47" spans="1:4">
      <c r="A47" s="35">
        <v>46</v>
      </c>
      <c r="B47" s="35">
        <v>10000</v>
      </c>
      <c r="C47" s="35" t="s">
        <v>53</v>
      </c>
      <c r="D47" s="34" t="s">
        <v>25</v>
      </c>
    </row>
    <row r="48" spans="1:4">
      <c r="A48" s="35">
        <v>47</v>
      </c>
      <c r="B48" s="35">
        <v>50000</v>
      </c>
      <c r="C48" s="35" t="s">
        <v>53</v>
      </c>
      <c r="D48" s="34" t="s">
        <v>153</v>
      </c>
    </row>
    <row r="49" spans="1:4">
      <c r="A49" s="35">
        <v>48</v>
      </c>
      <c r="B49" s="35">
        <v>10000</v>
      </c>
      <c r="C49" s="35" t="s">
        <v>53</v>
      </c>
      <c r="D49" s="34" t="s">
        <v>27</v>
      </c>
    </row>
    <row r="50" spans="1:4">
      <c r="A50" s="35">
        <v>49</v>
      </c>
      <c r="B50" s="35">
        <v>10000</v>
      </c>
      <c r="C50" s="35" t="s">
        <v>53</v>
      </c>
      <c r="D50" s="34" t="s">
        <v>154</v>
      </c>
    </row>
    <row r="51" spans="1:4">
      <c r="A51" s="35">
        <v>50</v>
      </c>
      <c r="B51" s="35">
        <v>2000000</v>
      </c>
      <c r="C51" s="35" t="s">
        <v>53</v>
      </c>
      <c r="D51" s="34" t="s">
        <v>162</v>
      </c>
    </row>
    <row r="52" spans="1:4">
      <c r="A52" s="35">
        <v>51</v>
      </c>
      <c r="B52" s="35">
        <v>3</v>
      </c>
      <c r="C52" s="35" t="s">
        <v>53</v>
      </c>
      <c r="D52" s="34" t="s">
        <v>163</v>
      </c>
    </row>
    <row r="53" spans="1:4">
      <c r="A53" s="35">
        <v>52</v>
      </c>
      <c r="B53" s="35">
        <v>1500</v>
      </c>
      <c r="C53" s="35" t="s">
        <v>53</v>
      </c>
      <c r="D53" s="34" t="s">
        <v>164</v>
      </c>
    </row>
  </sheetData>
  <phoneticPr fontId="2"/>
  <pageMargins left="0.7" right="0.7" top="0.75" bottom="0.75" header="0.3" footer="0.3"/>
  <pageSetup paperSize="9" orientation="portrait" r:id="rId1"/>
  <headerFooter>
    <oddHeader>&amp;L&amp;A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5"/>
  <sheetViews>
    <sheetView zoomScaleNormal="100" workbookViewId="0">
      <selection activeCell="B2" sqref="B2"/>
    </sheetView>
  </sheetViews>
  <sheetFormatPr defaultRowHeight="13.5"/>
  <cols>
    <col min="4" max="4" width="35.875" bestFit="1" customWidth="1"/>
  </cols>
  <sheetData>
    <row r="1" spans="1:4">
      <c r="A1" s="35" t="s">
        <v>167</v>
      </c>
      <c r="B1" s="35" t="s">
        <v>50</v>
      </c>
      <c r="C1" s="35" t="s">
        <v>51</v>
      </c>
      <c r="D1" s="35" t="s">
        <v>52</v>
      </c>
    </row>
    <row r="2" spans="1:4">
      <c r="A2" s="35">
        <v>1</v>
      </c>
      <c r="B2" s="35">
        <v>6</v>
      </c>
      <c r="C2" s="35" t="s">
        <v>53</v>
      </c>
      <c r="D2" s="35" t="s">
        <v>206</v>
      </c>
    </row>
    <row r="3" spans="1:4">
      <c r="A3" s="35">
        <v>2</v>
      </c>
      <c r="B3" s="35">
        <v>8</v>
      </c>
      <c r="C3" s="35" t="s">
        <v>53</v>
      </c>
      <c r="D3" s="35" t="s">
        <v>207</v>
      </c>
    </row>
    <row r="4" spans="1:4">
      <c r="A4" s="35">
        <v>3</v>
      </c>
      <c r="B4" s="35">
        <v>1000</v>
      </c>
      <c r="C4" s="35" t="s">
        <v>53</v>
      </c>
      <c r="D4" s="35" t="s">
        <v>208</v>
      </c>
    </row>
    <row r="5" spans="1:4">
      <c r="A5" s="35">
        <v>4</v>
      </c>
      <c r="B5" s="35">
        <v>100</v>
      </c>
      <c r="C5" s="35" t="s">
        <v>53</v>
      </c>
      <c r="D5" s="35" t="s">
        <v>209</v>
      </c>
    </row>
  </sheetData>
  <phoneticPr fontId="2"/>
  <pageMargins left="0.7" right="0.7" top="0.75" bottom="0.75" header="0.3" footer="0.3"/>
  <pageSetup paperSize="9" orientation="portrait" r:id="rId1"/>
  <headerFooter>
    <oddHeader>&amp;L&amp;A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5"/>
  <sheetViews>
    <sheetView workbookViewId="0">
      <selection activeCell="C27" sqref="C27"/>
    </sheetView>
  </sheetViews>
  <sheetFormatPr defaultRowHeight="13.5"/>
  <cols>
    <col min="1" max="1" width="11.625" bestFit="1" customWidth="1"/>
  </cols>
  <sheetData>
    <row r="1" spans="1:2">
      <c r="A1" t="s">
        <v>453</v>
      </c>
    </row>
    <row r="2" spans="1:2">
      <c r="A2" s="296">
        <v>43556</v>
      </c>
      <c r="B2" t="s">
        <v>454</v>
      </c>
    </row>
    <row r="3" spans="1:2">
      <c r="A3" s="296">
        <v>43840</v>
      </c>
      <c r="B3" t="s">
        <v>455</v>
      </c>
    </row>
    <row r="4" spans="1:2">
      <c r="A4" s="296">
        <v>44056</v>
      </c>
      <c r="B4" t="s">
        <v>456</v>
      </c>
    </row>
    <row r="5" spans="1:2">
      <c r="A5" s="296">
        <v>44200</v>
      </c>
      <c r="B5" t="s">
        <v>457</v>
      </c>
    </row>
    <row r="6" spans="1:2">
      <c r="A6" s="296">
        <v>44273</v>
      </c>
      <c r="B6" t="s">
        <v>485</v>
      </c>
    </row>
    <row r="7" spans="1:2">
      <c r="A7" s="296">
        <v>44287</v>
      </c>
      <c r="B7" t="s">
        <v>506</v>
      </c>
    </row>
    <row r="8" spans="1:2">
      <c r="A8" s="296">
        <v>44652</v>
      </c>
      <c r="B8" t="s">
        <v>516</v>
      </c>
    </row>
    <row r="9" spans="1:2">
      <c r="A9" s="296">
        <v>44753</v>
      </c>
      <c r="B9" t="s">
        <v>724</v>
      </c>
    </row>
    <row r="10" spans="1:2">
      <c r="A10" s="296">
        <v>44986</v>
      </c>
      <c r="B10" t="s">
        <v>731</v>
      </c>
    </row>
    <row r="11" spans="1:2">
      <c r="A11" s="296">
        <v>45243</v>
      </c>
      <c r="B11" t="s">
        <v>740</v>
      </c>
    </row>
    <row r="12" spans="1:2">
      <c r="A12" s="296">
        <v>45285</v>
      </c>
      <c r="B12" t="s">
        <v>741</v>
      </c>
    </row>
    <row r="13" spans="1:2">
      <c r="A13" s="296">
        <v>45364</v>
      </c>
      <c r="B13" t="s">
        <v>751</v>
      </c>
    </row>
    <row r="14" spans="1:2">
      <c r="A14" s="296">
        <v>45384</v>
      </c>
      <c r="B14" t="s">
        <v>752</v>
      </c>
    </row>
    <row r="15" spans="1:2">
      <c r="A15" s="296">
        <v>45454</v>
      </c>
      <c r="B15" t="s">
        <v>753</v>
      </c>
    </row>
    <row r="16" spans="1:2">
      <c r="A16" s="296">
        <v>45531</v>
      </c>
      <c r="B16" t="s">
        <v>764</v>
      </c>
    </row>
    <row r="17" spans="1:4">
      <c r="A17" s="296">
        <v>45719</v>
      </c>
      <c r="B17" t="s">
        <v>769</v>
      </c>
      <c r="D17" s="76" t="s">
        <v>906</v>
      </c>
    </row>
    <row r="18" spans="1:4">
      <c r="D18" t="s">
        <v>907</v>
      </c>
    </row>
    <row r="19" spans="1:4">
      <c r="D19" s="76" t="s">
        <v>765</v>
      </c>
    </row>
    <row r="20" spans="1:4">
      <c r="D20" s="76" t="s">
        <v>904</v>
      </c>
    </row>
    <row r="21" spans="1:4">
      <c r="D21" s="76" t="s">
        <v>905</v>
      </c>
    </row>
    <row r="22" spans="1:4">
      <c r="D22" s="76" t="s">
        <v>903</v>
      </c>
    </row>
    <row r="23" spans="1:4">
      <c r="A23" s="296">
        <v>45737</v>
      </c>
      <c r="B23" t="s">
        <v>925</v>
      </c>
    </row>
    <row r="24" spans="1:4">
      <c r="B24" t="s">
        <v>926</v>
      </c>
    </row>
    <row r="25" spans="1:4">
      <c r="A25" s="296">
        <v>46086</v>
      </c>
      <c r="B25" t="s">
        <v>1085</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134"/>
  <sheetViews>
    <sheetView view="pageBreakPreview" zoomScaleNormal="100" zoomScaleSheetLayoutView="100" workbookViewId="0">
      <selection sqref="A1:O1"/>
    </sheetView>
  </sheetViews>
  <sheetFormatPr defaultRowHeight="13.5"/>
  <cols>
    <col min="1" max="1" width="3.125" customWidth="1"/>
    <col min="2" max="4" width="9.125" customWidth="1"/>
    <col min="5" max="5" width="0.625" customWidth="1"/>
    <col min="6" max="6" width="13.25" customWidth="1"/>
    <col min="7" max="7" width="4.5" customWidth="1"/>
    <col min="8" max="8" width="7.125" customWidth="1"/>
    <col min="9" max="9" width="2.875" customWidth="1"/>
    <col min="10" max="10" width="2.625" customWidth="1"/>
    <col min="11" max="11" width="2" customWidth="1"/>
    <col min="12" max="12" width="12" customWidth="1"/>
    <col min="13" max="13" width="4.5" customWidth="1"/>
    <col min="14" max="14" width="7.125" customWidth="1"/>
    <col min="15" max="15" width="2.875" customWidth="1"/>
    <col min="16" max="16" width="0.625" customWidth="1"/>
    <col min="17" max="17" width="2.875" customWidth="1"/>
    <col min="18" max="28" width="9" style="39"/>
  </cols>
  <sheetData>
    <row r="1" spans="1:28">
      <c r="A1" s="610" t="s">
        <v>901</v>
      </c>
      <c r="B1" s="610"/>
      <c r="C1" s="610"/>
      <c r="D1" s="610"/>
      <c r="E1" s="610"/>
      <c r="F1" s="610"/>
      <c r="G1" s="610"/>
      <c r="H1" s="610"/>
      <c r="I1" s="610"/>
      <c r="J1" s="610"/>
      <c r="K1" s="610"/>
      <c r="L1" s="610"/>
      <c r="M1" s="610"/>
      <c r="N1" s="610"/>
      <c r="O1" s="610"/>
      <c r="P1" s="166"/>
      <c r="Q1" s="446"/>
      <c r="R1" s="610" t="s">
        <v>902</v>
      </c>
      <c r="S1" s="610"/>
      <c r="T1" s="610"/>
      <c r="U1" s="610"/>
      <c r="V1" s="610"/>
      <c r="W1" s="610"/>
      <c r="X1" s="610"/>
      <c r="Y1" s="610"/>
      <c r="Z1" s="610"/>
      <c r="AA1" s="610"/>
      <c r="AB1" s="610"/>
    </row>
    <row r="2" spans="1:28" ht="6" customHeight="1">
      <c r="A2" s="173"/>
      <c r="B2" s="173"/>
      <c r="C2" s="173"/>
      <c r="D2" s="173"/>
      <c r="E2" s="173"/>
      <c r="F2" s="173"/>
      <c r="G2" s="173"/>
      <c r="H2" s="173"/>
      <c r="I2" s="173"/>
      <c r="J2" s="173"/>
      <c r="K2" s="173"/>
      <c r="L2" s="173"/>
      <c r="M2" s="173"/>
      <c r="N2" s="173"/>
      <c r="O2" s="634">
        <f>MAX(修正履歴!A:A)</f>
        <v>46086</v>
      </c>
      <c r="P2" s="634"/>
      <c r="Q2" s="635"/>
    </row>
    <row r="3" spans="1:28">
      <c r="A3" s="174" t="s">
        <v>242</v>
      </c>
      <c r="B3" s="166"/>
      <c r="C3" s="166"/>
      <c r="D3" s="166"/>
      <c r="E3" s="166"/>
      <c r="F3" s="166"/>
      <c r="G3" s="173"/>
      <c r="H3" s="173"/>
      <c r="I3" s="173"/>
      <c r="J3" s="173"/>
      <c r="K3" s="173"/>
      <c r="L3" s="173"/>
      <c r="M3" s="173"/>
      <c r="N3" s="173"/>
      <c r="O3" s="634"/>
      <c r="P3" s="634"/>
      <c r="Q3" s="635"/>
      <c r="R3" s="396" t="s">
        <v>487</v>
      </c>
      <c r="S3" s="396"/>
      <c r="T3" s="396"/>
      <c r="U3" s="396"/>
      <c r="V3" s="396"/>
      <c r="W3" s="396"/>
      <c r="X3" s="396"/>
      <c r="Y3" s="396"/>
      <c r="Z3" s="396"/>
      <c r="AA3" s="396"/>
      <c r="AB3" s="396"/>
    </row>
    <row r="4" spans="1:28" ht="6" customHeight="1">
      <c r="A4" s="173"/>
      <c r="B4" s="174"/>
      <c r="C4" s="174"/>
      <c r="D4" s="174"/>
      <c r="E4" s="174"/>
      <c r="F4" s="174"/>
      <c r="G4" s="173"/>
      <c r="H4" s="173"/>
      <c r="I4" s="173"/>
      <c r="J4" s="173"/>
      <c r="K4" s="173"/>
      <c r="L4" s="173"/>
      <c r="M4" s="173"/>
      <c r="N4" s="173"/>
      <c r="O4" s="173"/>
      <c r="P4" s="166"/>
      <c r="Q4" s="446"/>
      <c r="R4" s="604" t="s">
        <v>922</v>
      </c>
      <c r="S4" s="604"/>
      <c r="T4" s="604"/>
      <c r="U4" s="604"/>
      <c r="V4" s="604"/>
      <c r="W4" s="604"/>
      <c r="X4" s="604"/>
      <c r="Y4" s="604"/>
      <c r="Z4" s="604"/>
      <c r="AA4" s="604"/>
      <c r="AB4" s="604"/>
    </row>
    <row r="5" spans="1:28">
      <c r="A5" s="173"/>
      <c r="B5" s="636" t="str">
        <f>海外居住者のための収入等申告書!B5</f>
        <v>　以下の奨学生の適格認定（家計）に際して、収入・所得等を提出すべき者のうちに１月１日時点で日本国外に居住している者がいるため、その収入・所得等の情報を申告します。</v>
      </c>
      <c r="C5" s="636"/>
      <c r="D5" s="636"/>
      <c r="E5" s="636"/>
      <c r="F5" s="636"/>
      <c r="G5" s="636"/>
      <c r="H5" s="636"/>
      <c r="I5" s="636"/>
      <c r="J5" s="636"/>
      <c r="K5" s="636"/>
      <c r="L5" s="636"/>
      <c r="M5" s="636"/>
      <c r="N5" s="636"/>
      <c r="O5" s="636"/>
      <c r="P5" s="166"/>
      <c r="Q5" s="446"/>
      <c r="R5" s="604"/>
      <c r="S5" s="604"/>
      <c r="T5" s="604"/>
      <c r="U5" s="604"/>
      <c r="V5" s="604"/>
      <c r="W5" s="604"/>
      <c r="X5" s="604"/>
      <c r="Y5" s="604"/>
      <c r="Z5" s="604"/>
      <c r="AA5" s="604"/>
      <c r="AB5" s="604"/>
    </row>
    <row r="6" spans="1:28">
      <c r="A6" s="173"/>
      <c r="B6" s="636"/>
      <c r="C6" s="636"/>
      <c r="D6" s="636"/>
      <c r="E6" s="636"/>
      <c r="F6" s="636"/>
      <c r="G6" s="636"/>
      <c r="H6" s="636"/>
      <c r="I6" s="636"/>
      <c r="J6" s="636"/>
      <c r="K6" s="636"/>
      <c r="L6" s="636"/>
      <c r="M6" s="636"/>
      <c r="N6" s="636"/>
      <c r="O6" s="636"/>
      <c r="P6" s="166"/>
      <c r="Q6" s="446"/>
      <c r="R6" s="604"/>
      <c r="S6" s="604"/>
      <c r="T6" s="604"/>
      <c r="U6" s="604"/>
      <c r="V6" s="604"/>
      <c r="W6" s="604"/>
      <c r="X6" s="604"/>
      <c r="Y6" s="604"/>
      <c r="Z6" s="604"/>
      <c r="AA6" s="604"/>
      <c r="AB6" s="604"/>
    </row>
    <row r="7" spans="1:28" ht="5.25" customHeight="1">
      <c r="A7" s="173"/>
      <c r="B7" s="173"/>
      <c r="C7" s="173"/>
      <c r="D7" s="173"/>
      <c r="E7" s="173"/>
      <c r="F7" s="173"/>
      <c r="G7" s="173"/>
      <c r="H7" s="173"/>
      <c r="I7" s="166"/>
      <c r="J7" s="174"/>
      <c r="K7" s="166"/>
      <c r="L7" s="447"/>
      <c r="M7" s="447"/>
      <c r="N7" s="447"/>
      <c r="O7" s="173"/>
      <c r="P7" s="166"/>
      <c r="Q7" s="446"/>
      <c r="R7" s="604"/>
      <c r="S7" s="604"/>
      <c r="T7" s="604"/>
      <c r="U7" s="604"/>
      <c r="V7" s="604"/>
      <c r="W7" s="604"/>
      <c r="X7" s="604"/>
      <c r="Y7" s="604"/>
      <c r="Z7" s="604"/>
      <c r="AA7" s="604"/>
      <c r="AB7" s="604"/>
    </row>
    <row r="8" spans="1:28" ht="14.25" thickBot="1">
      <c r="A8" s="173"/>
      <c r="B8" s="173"/>
      <c r="C8" s="173"/>
      <c r="D8" s="173"/>
      <c r="E8" s="173"/>
      <c r="F8" s="173"/>
      <c r="G8" s="173"/>
      <c r="H8" s="628" t="s">
        <v>331</v>
      </c>
      <c r="I8" s="628"/>
      <c r="J8" s="628"/>
      <c r="K8" s="628"/>
      <c r="L8" s="632">
        <v>46122</v>
      </c>
      <c r="M8" s="632"/>
      <c r="N8" s="632"/>
      <c r="O8" s="173"/>
      <c r="P8" s="166"/>
      <c r="Q8" s="446"/>
      <c r="R8" s="604" t="s">
        <v>340</v>
      </c>
      <c r="S8" s="604"/>
      <c r="T8" s="604"/>
      <c r="U8" s="604"/>
      <c r="V8" s="604"/>
      <c r="W8" s="604"/>
      <c r="X8" s="604"/>
      <c r="Y8" s="604"/>
      <c r="Z8" s="604"/>
      <c r="AA8" s="604"/>
      <c r="AB8" s="604"/>
    </row>
    <row r="9" spans="1:28" ht="9.9499999999999993" customHeight="1">
      <c r="A9" s="173"/>
      <c r="B9" s="173"/>
      <c r="C9" s="173"/>
      <c r="D9" s="173"/>
      <c r="E9" s="173"/>
      <c r="F9" s="173"/>
      <c r="G9" s="173"/>
      <c r="H9" s="173"/>
      <c r="I9" s="166"/>
      <c r="J9" s="166"/>
      <c r="K9" s="166"/>
      <c r="L9" s="633" t="s">
        <v>768</v>
      </c>
      <c r="M9" s="633"/>
      <c r="N9" s="633"/>
      <c r="O9" s="173"/>
      <c r="P9" s="166"/>
      <c r="Q9" s="446"/>
      <c r="R9" s="604"/>
      <c r="S9" s="604"/>
      <c r="T9" s="604"/>
      <c r="U9" s="604"/>
      <c r="V9" s="604"/>
      <c r="W9" s="604"/>
      <c r="X9" s="604"/>
      <c r="Y9" s="604"/>
      <c r="Z9" s="604"/>
      <c r="AA9" s="604"/>
      <c r="AB9" s="604"/>
    </row>
    <row r="10" spans="1:28" ht="14.25" customHeight="1" thickBot="1">
      <c r="A10" s="173"/>
      <c r="B10" s="166"/>
      <c r="C10" s="178" t="s">
        <v>499</v>
      </c>
      <c r="D10" s="179">
        <v>2026</v>
      </c>
      <c r="E10" s="173"/>
      <c r="F10" s="178"/>
      <c r="G10" s="166"/>
      <c r="H10" s="628" t="s">
        <v>341</v>
      </c>
      <c r="I10" s="628"/>
      <c r="J10" s="628"/>
      <c r="K10" s="628"/>
      <c r="L10" s="629" t="s">
        <v>344</v>
      </c>
      <c r="M10" s="629"/>
      <c r="N10" s="629"/>
      <c r="O10" s="173"/>
      <c r="P10" s="166"/>
      <c r="Q10" s="446"/>
      <c r="R10" s="604" t="s">
        <v>1088</v>
      </c>
      <c r="S10" s="604"/>
      <c r="T10" s="604"/>
      <c r="U10" s="604"/>
      <c r="V10" s="604"/>
      <c r="W10" s="604"/>
      <c r="X10" s="604"/>
      <c r="Y10" s="604"/>
      <c r="Z10" s="604"/>
      <c r="AA10" s="604"/>
      <c r="AB10" s="604"/>
    </row>
    <row r="11" spans="1:28" ht="14.25" thickBot="1">
      <c r="A11" s="173"/>
      <c r="B11" s="166"/>
      <c r="C11" s="178" t="str">
        <f>IF(VLOOKUP(L10,計算シート!F15:G22,2,0)=4,"奨学生番号","申込受付番号")</f>
        <v>申込受付番号</v>
      </c>
      <c r="D11" s="574" t="s">
        <v>909</v>
      </c>
      <c r="E11" s="574"/>
      <c r="F11" s="574"/>
      <c r="G11" s="173" t="s">
        <v>378</v>
      </c>
      <c r="H11" s="448" t="s">
        <v>910</v>
      </c>
      <c r="I11" s="173" t="s">
        <v>378</v>
      </c>
      <c r="J11" s="630" t="s">
        <v>913</v>
      </c>
      <c r="K11" s="630"/>
      <c r="L11" s="630"/>
      <c r="M11" s="630"/>
      <c r="N11" s="630"/>
      <c r="O11" s="173"/>
      <c r="P11" s="166"/>
      <c r="Q11" s="446"/>
      <c r="R11" s="604"/>
      <c r="S11" s="604"/>
      <c r="T11" s="604"/>
      <c r="U11" s="604"/>
      <c r="V11" s="604"/>
      <c r="W11" s="604"/>
      <c r="X11" s="604"/>
      <c r="Y11" s="604"/>
      <c r="Z11" s="604"/>
      <c r="AA11" s="604"/>
      <c r="AB11" s="604"/>
    </row>
    <row r="12" spans="1:28" ht="6.75" customHeight="1">
      <c r="A12" s="173"/>
      <c r="B12" s="275"/>
      <c r="C12" s="449"/>
      <c r="D12" s="363"/>
      <c r="E12" s="363"/>
      <c r="F12" s="363"/>
      <c r="G12" s="450"/>
      <c r="H12" s="451"/>
      <c r="I12" s="450"/>
      <c r="J12" s="452"/>
      <c r="K12" s="452"/>
      <c r="L12" s="452"/>
      <c r="M12" s="452"/>
      <c r="N12" s="450"/>
      <c r="O12" s="173"/>
      <c r="P12" s="166"/>
      <c r="Q12" s="446"/>
      <c r="R12" s="604"/>
      <c r="S12" s="604"/>
      <c r="T12" s="604"/>
      <c r="U12" s="604"/>
      <c r="V12" s="604"/>
      <c r="W12" s="604"/>
      <c r="X12" s="604"/>
      <c r="Y12" s="604"/>
      <c r="Z12" s="604"/>
      <c r="AA12" s="604"/>
      <c r="AB12" s="604"/>
    </row>
    <row r="13" spans="1:28" ht="14.25" thickBot="1">
      <c r="A13" s="166"/>
      <c r="B13" s="453"/>
      <c r="C13" s="454" t="str">
        <f>IF(VLOOKUP(L10,計算シート!F15:G22,2,0)=4,"奨学生","申込者")&amp;"本人氏名"</f>
        <v>申込者本人氏名</v>
      </c>
      <c r="D13" s="557" t="s">
        <v>911</v>
      </c>
      <c r="E13" s="557"/>
      <c r="F13" s="557"/>
      <c r="G13" s="631" t="str">
        <f>IF(計算シート!C69=0,"本人生年月日","")</f>
        <v>本人生年月日</v>
      </c>
      <c r="H13" s="631"/>
      <c r="I13" s="632">
        <v>39543</v>
      </c>
      <c r="J13" s="632"/>
      <c r="K13" s="632"/>
      <c r="L13" s="632"/>
      <c r="M13" s="455" t="str">
        <f>IF(計算シート!C69=0,"（ yyyy / mm / dd ）","")</f>
        <v>（ yyyy / mm / dd ）</v>
      </c>
      <c r="N13" s="456"/>
      <c r="O13" s="166"/>
      <c r="P13" s="166"/>
      <c r="Q13" s="446"/>
      <c r="R13" s="604"/>
      <c r="S13" s="604"/>
      <c r="T13" s="604"/>
      <c r="U13" s="604"/>
      <c r="V13" s="604"/>
      <c r="W13" s="604"/>
      <c r="X13" s="604"/>
      <c r="Y13" s="604"/>
      <c r="Z13" s="604"/>
      <c r="AA13" s="604"/>
      <c r="AB13" s="604"/>
    </row>
    <row r="14" spans="1:28" ht="1.5" customHeight="1">
      <c r="A14" s="166"/>
      <c r="B14" s="275"/>
      <c r="C14" s="449"/>
      <c r="D14" s="457"/>
      <c r="E14" s="457"/>
      <c r="F14" s="457"/>
      <c r="G14" s="458"/>
      <c r="H14" s="458"/>
      <c r="I14" s="459"/>
      <c r="J14" s="459"/>
      <c r="K14" s="460"/>
      <c r="L14" s="460"/>
      <c r="M14" s="461"/>
      <c r="N14" s="460"/>
      <c r="O14" s="166"/>
      <c r="P14" s="166"/>
      <c r="Q14" s="446"/>
      <c r="R14" s="604"/>
      <c r="S14" s="604"/>
      <c r="T14" s="604"/>
      <c r="U14" s="604"/>
      <c r="V14" s="604"/>
      <c r="W14" s="604"/>
      <c r="X14" s="604"/>
      <c r="Y14" s="604"/>
      <c r="Z14" s="604"/>
      <c r="AA14" s="604"/>
      <c r="AB14" s="604"/>
    </row>
    <row r="15" spans="1:28" ht="14.25" customHeight="1" thickBot="1">
      <c r="A15" s="462"/>
      <c r="B15" s="453"/>
      <c r="C15" s="454" t="str">
        <f>IF(計算シート!C69=0,"生計維持者１","配偶者")&amp;"の氏名"</f>
        <v>生計維持者１の氏名</v>
      </c>
      <c r="D15" s="557" t="s">
        <v>912</v>
      </c>
      <c r="E15" s="557"/>
      <c r="F15" s="557"/>
      <c r="G15" s="569" t="str">
        <f>IF(計算シート!C69=0,"本人との続柄","")</f>
        <v>本人との続柄</v>
      </c>
      <c r="H15" s="569"/>
      <c r="I15" s="557" t="s">
        <v>892</v>
      </c>
      <c r="J15" s="557"/>
      <c r="K15" s="379"/>
      <c r="L15" s="379"/>
      <c r="M15" s="380"/>
      <c r="N15" s="381"/>
      <c r="O15" s="166"/>
      <c r="P15" s="166"/>
      <c r="Q15" s="446"/>
      <c r="R15" s="605" t="s">
        <v>361</v>
      </c>
      <c r="S15" s="604"/>
      <c r="T15" s="604"/>
      <c r="U15" s="604"/>
      <c r="V15" s="604"/>
      <c r="W15" s="604"/>
      <c r="X15" s="604"/>
      <c r="Y15" s="604"/>
      <c r="Z15" s="604"/>
      <c r="AA15" s="604"/>
      <c r="AB15" s="604"/>
    </row>
    <row r="16" spans="1:28" ht="2.1" customHeight="1">
      <c r="A16" s="166"/>
      <c r="B16" s="275"/>
      <c r="C16" s="449"/>
      <c r="D16" s="457"/>
      <c r="E16" s="457"/>
      <c r="F16" s="457"/>
      <c r="G16" s="382"/>
      <c r="H16" s="382"/>
      <c r="I16" s="383"/>
      <c r="J16" s="383"/>
      <c r="K16" s="384"/>
      <c r="L16" s="384"/>
      <c r="M16" s="385"/>
      <c r="N16" s="385"/>
      <c r="O16" s="166"/>
      <c r="P16" s="166"/>
      <c r="Q16" s="446"/>
      <c r="R16" s="605"/>
      <c r="S16" s="604"/>
      <c r="T16" s="604"/>
      <c r="U16" s="604"/>
      <c r="V16" s="604"/>
      <c r="W16" s="604"/>
      <c r="X16" s="604"/>
      <c r="Y16" s="604"/>
      <c r="Z16" s="604"/>
      <c r="AA16" s="604"/>
      <c r="AB16" s="604"/>
    </row>
    <row r="17" spans="1:28" ht="14.25" thickBot="1">
      <c r="A17" s="462"/>
      <c r="B17" s="453"/>
      <c r="C17" s="454" t="str">
        <f>IF(AND(計算シート!C69=0,NOT(OR(F36="いいえ",I15="祖父",I15="祖母",I15="その他"))),"生計維持者２"&amp;"の氏名","")</f>
        <v>生計維持者２の氏名</v>
      </c>
      <c r="D17" s="557" t="s">
        <v>311</v>
      </c>
      <c r="E17" s="557"/>
      <c r="F17" s="557"/>
      <c r="G17" s="577" t="str">
        <f>IF(AND(計算シート!C69=0,NOT(OR(F36="いいえ",I15="祖父",I15="祖母",I15="その他"))),"本人との続柄","")</f>
        <v>本人との続柄</v>
      </c>
      <c r="H17" s="577"/>
      <c r="I17" s="567" t="s">
        <v>893</v>
      </c>
      <c r="J17" s="567"/>
      <c r="K17" s="569" t="str">
        <f>IF(AND(計算シート!C69=0,NOT(OR(F36="いいえ",I15="祖父",I15="祖母",I15="その他"))),IF(OR(AND(I15="父",I17="父"),AND(I15="母",I17="母")),"生計維持者１と２の続柄が同じです","※生計維持者２がいない場合、氏名は入力しないでください"),"")</f>
        <v>※生計維持者２がいない場合、氏名は入力しないでください</v>
      </c>
      <c r="L17" s="569"/>
      <c r="M17" s="569"/>
      <c r="N17" s="570"/>
      <c r="O17" s="166"/>
      <c r="P17" s="166"/>
      <c r="Q17" s="446"/>
      <c r="R17" s="605"/>
      <c r="S17" s="604"/>
      <c r="T17" s="604"/>
      <c r="U17" s="604"/>
      <c r="V17" s="604"/>
      <c r="W17" s="604"/>
      <c r="X17" s="604"/>
      <c r="Y17" s="604"/>
      <c r="Z17" s="604"/>
      <c r="AA17" s="604"/>
      <c r="AB17" s="604"/>
    </row>
    <row r="18" spans="1:28" ht="2.1" customHeight="1">
      <c r="A18" s="166"/>
      <c r="B18" s="166"/>
      <c r="C18" s="178"/>
      <c r="D18" s="353"/>
      <c r="E18" s="353"/>
      <c r="F18" s="353"/>
      <c r="G18" s="463"/>
      <c r="H18" s="463"/>
      <c r="I18" s="354"/>
      <c r="J18" s="354"/>
      <c r="K18" s="166"/>
      <c r="L18" s="464"/>
      <c r="M18" s="464"/>
      <c r="N18" s="161"/>
      <c r="O18" s="166"/>
      <c r="P18" s="166"/>
      <c r="Q18" s="446"/>
      <c r="R18" s="605"/>
      <c r="S18" s="604"/>
      <c r="T18" s="604"/>
      <c r="U18" s="604"/>
      <c r="V18" s="604"/>
      <c r="W18" s="604"/>
      <c r="X18" s="604"/>
      <c r="Y18" s="604"/>
      <c r="Z18" s="604"/>
      <c r="AA18" s="604"/>
      <c r="AB18" s="604"/>
    </row>
    <row r="19" spans="1:28" ht="13.5" customHeight="1">
      <c r="A19" s="166"/>
      <c r="B19" s="174" t="str">
        <f>"※ 以下、収入（所得）は【"&amp;YEAR(計算シート!C47)-1&amp;"年1月1日～12月31日】のものを入力してください。"</f>
        <v>※ 以下、収入（所得）は【2025年1月1日～12月31日】のものを入力してください。</v>
      </c>
      <c r="C19" s="174"/>
      <c r="D19" s="174"/>
      <c r="E19" s="174"/>
      <c r="F19" s="174"/>
      <c r="G19" s="165"/>
      <c r="H19" s="165"/>
      <c r="I19" s="164"/>
      <c r="J19" s="164"/>
      <c r="K19" s="164"/>
      <c r="L19" s="161"/>
      <c r="M19" s="161"/>
      <c r="N19" s="161"/>
      <c r="O19" s="166"/>
      <c r="P19" s="166"/>
      <c r="Q19" s="446"/>
      <c r="R19" s="605"/>
      <c r="S19" s="604"/>
      <c r="T19" s="604"/>
      <c r="U19" s="604"/>
      <c r="V19" s="604"/>
      <c r="W19" s="604"/>
      <c r="X19" s="604"/>
      <c r="Y19" s="604"/>
      <c r="Z19" s="604"/>
      <c r="AA19" s="604"/>
      <c r="AB19" s="604"/>
    </row>
    <row r="20" spans="1:28" ht="13.5" customHeight="1">
      <c r="A20" s="166"/>
      <c r="B20" s="174" t="str">
        <f>"    扶養等の情報は【"&amp;YEAR(計算シート!C47)-1&amp;"年12月31日】現在のものを入力してください。"</f>
        <v xml:space="preserve">    扶養等の情報は【2025年12月31日】現在のものを入力してください。</v>
      </c>
      <c r="C20" s="174"/>
      <c r="D20" s="174"/>
      <c r="E20" s="174"/>
      <c r="F20" s="174"/>
      <c r="G20" s="165"/>
      <c r="H20" s="165"/>
      <c r="I20" s="164"/>
      <c r="J20" s="164"/>
      <c r="K20" s="164"/>
      <c r="L20" s="161"/>
      <c r="M20" s="161"/>
      <c r="N20" s="161"/>
      <c r="O20" s="166"/>
      <c r="P20" s="166"/>
      <c r="Q20" s="446"/>
      <c r="R20" s="604" t="s">
        <v>309</v>
      </c>
      <c r="S20" s="604"/>
      <c r="T20" s="604"/>
      <c r="U20" s="604"/>
      <c r="V20" s="604"/>
      <c r="W20" s="604"/>
      <c r="X20" s="604"/>
      <c r="Y20" s="604"/>
      <c r="Z20" s="604"/>
      <c r="AA20" s="604"/>
      <c r="AB20" s="604"/>
    </row>
    <row r="21" spans="1:28" ht="3.75" customHeight="1" thickBot="1">
      <c r="A21" s="183"/>
      <c r="B21" s="183"/>
      <c r="C21" s="183"/>
      <c r="D21" s="183"/>
      <c r="E21" s="183"/>
      <c r="F21" s="183"/>
      <c r="G21" s="183"/>
      <c r="H21" s="166"/>
      <c r="I21" s="166"/>
      <c r="J21" s="166"/>
      <c r="K21" s="166"/>
      <c r="L21" s="166"/>
      <c r="M21" s="166"/>
      <c r="N21" s="166"/>
      <c r="O21" s="166"/>
      <c r="P21" s="166"/>
      <c r="Q21" s="446"/>
      <c r="R21" s="604"/>
      <c r="S21" s="604"/>
      <c r="T21" s="604"/>
      <c r="U21" s="604"/>
      <c r="V21" s="604"/>
      <c r="W21" s="604"/>
      <c r="X21" s="604"/>
      <c r="Y21" s="604"/>
      <c r="Z21" s="604"/>
      <c r="AA21" s="604"/>
      <c r="AB21" s="604"/>
    </row>
    <row r="22" spans="1:28" s="76" customFormat="1" ht="15.6" customHeight="1" thickTop="1">
      <c r="A22" s="184" t="str">
        <f>IF(計算シート!C69=0,"奨学生本人情報","※大学院申込の場合、この欄は入力不要です")</f>
        <v>奨学生本人情報</v>
      </c>
      <c r="B22" s="185"/>
      <c r="C22" s="185"/>
      <c r="D22" s="185"/>
      <c r="E22" s="185"/>
      <c r="F22" s="185"/>
      <c r="G22" s="186"/>
      <c r="H22" s="465"/>
      <c r="I22" s="188" t="s">
        <v>318</v>
      </c>
      <c r="J22" s="189"/>
      <c r="K22" s="189"/>
      <c r="L22" s="189"/>
      <c r="M22" s="189"/>
      <c r="N22" s="186"/>
      <c r="O22" s="187"/>
      <c r="P22" s="187"/>
      <c r="Q22" s="466"/>
      <c r="R22" s="604"/>
      <c r="S22" s="604"/>
      <c r="T22" s="604"/>
      <c r="U22" s="604"/>
      <c r="V22" s="604"/>
      <c r="W22" s="604"/>
      <c r="X22" s="604"/>
      <c r="Y22" s="604"/>
      <c r="Z22" s="604"/>
      <c r="AA22" s="604"/>
      <c r="AB22" s="604"/>
    </row>
    <row r="23" spans="1:28" s="76" customFormat="1" ht="12.95" customHeight="1" thickBot="1">
      <c r="A23" s="191" t="s">
        <v>261</v>
      </c>
      <c r="B23" s="621" t="str">
        <f>IF(計算シート!C69=0,"生年月日（yyyy/mm/dd）","")</f>
        <v>生年月日（yyyy/mm/dd）</v>
      </c>
      <c r="C23" s="622"/>
      <c r="D23" s="622"/>
      <c r="E23" s="300"/>
      <c r="F23" s="301">
        <f>I13</f>
        <v>39543</v>
      </c>
      <c r="G23" s="196"/>
      <c r="H23" s="187"/>
      <c r="I23" s="195" t="s">
        <v>319</v>
      </c>
      <c r="J23" s="185"/>
      <c r="K23" s="185"/>
      <c r="L23" s="185"/>
      <c r="M23" s="185"/>
      <c r="N23" s="196"/>
      <c r="O23" s="187"/>
      <c r="P23" s="187"/>
      <c r="Q23" s="466"/>
      <c r="R23" s="604"/>
      <c r="S23" s="604"/>
      <c r="T23" s="604"/>
      <c r="U23" s="604"/>
      <c r="V23" s="604"/>
      <c r="W23" s="604"/>
      <c r="X23" s="604"/>
      <c r="Y23" s="604"/>
      <c r="Z23" s="604"/>
      <c r="AA23" s="604"/>
      <c r="AB23" s="604"/>
    </row>
    <row r="24" spans="1:28" s="76" customFormat="1" ht="12.95" customHeight="1" thickBot="1">
      <c r="A24" s="197" t="s">
        <v>262</v>
      </c>
      <c r="B24" s="606" t="str">
        <f>IF(計算シート!C69=0,"どちらの生計維持者に扶養されていますか","")</f>
        <v>どちらの生計維持者に扶養されていますか</v>
      </c>
      <c r="C24" s="607"/>
      <c r="D24" s="607"/>
      <c r="E24" s="187"/>
      <c r="F24" s="199" t="s">
        <v>38</v>
      </c>
      <c r="G24" s="196"/>
      <c r="H24" s="187"/>
      <c r="I24" s="195" t="s">
        <v>320</v>
      </c>
      <c r="J24" s="185"/>
      <c r="K24" s="185"/>
      <c r="L24" s="185"/>
      <c r="M24" s="185"/>
      <c r="N24" s="196"/>
      <c r="O24" s="187"/>
      <c r="P24" s="187"/>
      <c r="Q24" s="466"/>
      <c r="R24" s="604"/>
      <c r="S24" s="604"/>
      <c r="T24" s="604"/>
      <c r="U24" s="604"/>
      <c r="V24" s="604"/>
      <c r="W24" s="604"/>
      <c r="X24" s="604"/>
      <c r="Y24" s="604"/>
      <c r="Z24" s="604"/>
      <c r="AA24" s="604"/>
      <c r="AB24" s="604"/>
    </row>
    <row r="25" spans="1:28" s="76" customFormat="1" ht="12.95" customHeight="1" thickBot="1">
      <c r="A25" s="197" t="s">
        <v>263</v>
      </c>
      <c r="B25" s="626" t="str">
        <f>IF(計算シート!C69=0,"障がい者に該当していますか","")</f>
        <v>障がい者に該当していますか</v>
      </c>
      <c r="C25" s="627"/>
      <c r="D25" s="627"/>
      <c r="E25" s="200"/>
      <c r="F25" s="201" t="s">
        <v>211</v>
      </c>
      <c r="G25" s="196"/>
      <c r="H25" s="187"/>
      <c r="I25" s="195" t="s">
        <v>321</v>
      </c>
      <c r="J25" s="185"/>
      <c r="K25" s="185"/>
      <c r="L25" s="185"/>
      <c r="M25" s="185"/>
      <c r="N25" s="196"/>
      <c r="O25" s="187"/>
      <c r="P25" s="187"/>
      <c r="Q25" s="466"/>
      <c r="R25" s="397" t="s">
        <v>488</v>
      </c>
      <c r="S25" s="398"/>
      <c r="T25" s="398"/>
      <c r="U25" s="398"/>
      <c r="V25" s="398"/>
      <c r="W25" s="398"/>
      <c r="X25" s="398"/>
      <c r="Y25" s="398"/>
      <c r="Z25" s="398"/>
      <c r="AA25" s="398"/>
      <c r="AB25" s="398"/>
    </row>
    <row r="26" spans="1:28" s="76" customFormat="1" ht="12.95" customHeight="1" thickBot="1">
      <c r="A26" s="197" t="s">
        <v>264</v>
      </c>
      <c r="B26" s="606" t="str">
        <f>IF(計算シート!C69=0,"　生計維持者と同居していますか","")</f>
        <v>　生計維持者と同居していますか</v>
      </c>
      <c r="C26" s="607"/>
      <c r="D26" s="607"/>
      <c r="E26" s="200"/>
      <c r="F26" s="203" t="s">
        <v>40</v>
      </c>
      <c r="G26" s="196"/>
      <c r="H26" s="187"/>
      <c r="I26" s="467">
        <v>1</v>
      </c>
      <c r="J26" s="613" t="s">
        <v>322</v>
      </c>
      <c r="K26" s="614"/>
      <c r="L26" s="614"/>
      <c r="M26" s="614"/>
      <c r="N26" s="468" t="s">
        <v>323</v>
      </c>
      <c r="O26" s="187"/>
      <c r="P26" s="187"/>
      <c r="Q26" s="466"/>
      <c r="R26" s="398" t="s">
        <v>489</v>
      </c>
      <c r="S26" s="398"/>
      <c r="T26" s="398"/>
      <c r="U26" s="398"/>
      <c r="V26" s="398"/>
      <c r="W26" s="398"/>
      <c r="X26" s="398"/>
      <c r="Y26" s="398"/>
      <c r="Z26" s="398"/>
      <c r="AA26" s="398"/>
      <c r="AB26" s="398"/>
    </row>
    <row r="27" spans="1:28" s="76" customFormat="1" ht="12.95" customHeight="1" thickBot="1">
      <c r="A27" s="197" t="s">
        <v>265</v>
      </c>
      <c r="B27" s="606" t="str">
        <f>IF(計算シート!C69=0,"奨学生本人に収入（所得）がありますか","")</f>
        <v>奨学生本人に収入（所得）がありますか</v>
      </c>
      <c r="C27" s="607"/>
      <c r="D27" s="607"/>
      <c r="E27" s="208"/>
      <c r="F27" s="199" t="s">
        <v>40</v>
      </c>
      <c r="G27" s="196"/>
      <c r="H27" s="187"/>
      <c r="I27" s="467">
        <v>2</v>
      </c>
      <c r="J27" s="614" t="s">
        <v>329</v>
      </c>
      <c r="K27" s="614"/>
      <c r="L27" s="614"/>
      <c r="M27" s="614"/>
      <c r="N27" s="468" t="str">
        <f>IF(F36="はい","○"&amp;IF(VLOOKUP(L10,計算シート!F15:G22,2,0)=4,"※",""),"")</f>
        <v>○</v>
      </c>
      <c r="O27" s="187"/>
      <c r="P27" s="187"/>
      <c r="Q27" s="466"/>
      <c r="R27" s="397" t="s">
        <v>923</v>
      </c>
      <c r="S27" s="398"/>
      <c r="T27" s="398"/>
      <c r="U27" s="398"/>
      <c r="V27" s="398"/>
      <c r="W27" s="398"/>
      <c r="X27" s="398"/>
      <c r="Y27" s="398"/>
      <c r="Z27" s="398"/>
      <c r="AA27" s="398"/>
      <c r="AB27" s="398"/>
    </row>
    <row r="28" spans="1:28" s="76" customFormat="1" ht="12.95" customHeight="1" thickBot="1">
      <c r="A28" s="197" t="s">
        <v>266</v>
      </c>
      <c r="B28" s="606" t="str">
        <f>IF(計算シート!C69=0,"　給与収入金額の通貨","")</f>
        <v>　給与収入金額の通貨</v>
      </c>
      <c r="C28" s="607"/>
      <c r="D28" s="607"/>
      <c r="E28" s="208"/>
      <c r="F28" s="203" t="s">
        <v>49</v>
      </c>
      <c r="G28" s="196"/>
      <c r="H28" s="187"/>
      <c r="I28" s="467">
        <v>3</v>
      </c>
      <c r="J28" s="613" t="s">
        <v>328</v>
      </c>
      <c r="K28" s="614"/>
      <c r="L28" s="614"/>
      <c r="M28" s="614"/>
      <c r="N28" s="468" t="str">
        <f>IF(SUM(F51:F60,L51:L60)&gt;0,"○","")</f>
        <v>○</v>
      </c>
      <c r="O28" s="187"/>
      <c r="P28" s="187"/>
      <c r="Q28" s="466"/>
      <c r="R28" s="397" t="s">
        <v>495</v>
      </c>
      <c r="S28" s="395"/>
      <c r="T28" s="395"/>
      <c r="U28" s="395"/>
      <c r="V28" s="395"/>
      <c r="W28" s="395"/>
      <c r="X28" s="395"/>
      <c r="Y28" s="395"/>
      <c r="Z28" s="395"/>
      <c r="AA28" s="395"/>
      <c r="AB28" s="395"/>
    </row>
    <row r="29" spans="1:28" s="76" customFormat="1" ht="12.95" customHeight="1" thickBot="1">
      <c r="A29" s="197" t="s">
        <v>267</v>
      </c>
      <c r="B29" s="606" t="str">
        <f>IF(計算シート!C69=0,"　　給与収入金額","")</f>
        <v>　　給与収入金額</v>
      </c>
      <c r="C29" s="607"/>
      <c r="D29" s="607"/>
      <c r="E29" s="187"/>
      <c r="F29" s="469">
        <v>1000000</v>
      </c>
      <c r="G29" s="194" t="str">
        <f>MID(F28,SEARCH("(",F28)+1,3)</f>
        <v>JPY</v>
      </c>
      <c r="H29" s="187"/>
      <c r="I29" s="467">
        <v>4</v>
      </c>
      <c r="J29" s="613" t="str">
        <f>IF(計算シート!C69=0,"生計維持者が１人のみであることを証するもの","ひとり親世帯に関するもの")</f>
        <v>生計維持者が１人のみであることを証するもの</v>
      </c>
      <c r="K29" s="614"/>
      <c r="L29" s="614"/>
      <c r="M29" s="614"/>
      <c r="N29" s="468" t="str">
        <f>IF(OR(AND(計算シート!C69=0,F36="いいえ"),AND(計算シート!C69=1,F40="ひとり親である")),"○","")</f>
        <v/>
      </c>
      <c r="O29" s="187"/>
      <c r="P29" s="187"/>
      <c r="Q29" s="466"/>
      <c r="R29" s="397" t="s">
        <v>1077</v>
      </c>
      <c r="S29" s="395"/>
      <c r="T29" s="395"/>
      <c r="U29" s="395"/>
      <c r="V29" s="395"/>
      <c r="W29" s="395"/>
      <c r="X29" s="395"/>
      <c r="Y29" s="395"/>
      <c r="Z29" s="395"/>
      <c r="AA29" s="395"/>
      <c r="AB29" s="395"/>
    </row>
    <row r="30" spans="1:28" s="76" customFormat="1" ht="12.95" customHeight="1" thickBot="1">
      <c r="A30" s="197" t="s">
        <v>268</v>
      </c>
      <c r="B30" s="606" t="str">
        <f>IF(計算シート!C69=0,"　給与・年金以外の所得の通貨","")</f>
        <v>　給与・年金以外の所得の通貨</v>
      </c>
      <c r="C30" s="607"/>
      <c r="D30" s="607"/>
      <c r="E30" s="208"/>
      <c r="F30" s="203" t="s">
        <v>49</v>
      </c>
      <c r="G30" s="196"/>
      <c r="H30" s="187"/>
      <c r="I30" s="467">
        <v>5</v>
      </c>
      <c r="J30" s="613" t="s">
        <v>326</v>
      </c>
      <c r="K30" s="614"/>
      <c r="L30" s="614"/>
      <c r="M30" s="614"/>
      <c r="N30" s="468" t="str">
        <f>IF(OR(F25="障がい者である",F25="特別の障がい者である",F39="障がい者である",F39="特別の障がい者である",L39="障がい者である",L39="特別の障がい者である",SUM(F58:F60,L58:L60)&gt;0),"○","")</f>
        <v>○</v>
      </c>
      <c r="O30" s="187"/>
      <c r="P30" s="187"/>
      <c r="Q30" s="466"/>
      <c r="R30" s="604" t="s">
        <v>1078</v>
      </c>
      <c r="S30" s="604"/>
      <c r="T30" s="604"/>
      <c r="U30" s="604"/>
      <c r="V30" s="604"/>
      <c r="W30" s="604"/>
      <c r="X30" s="604"/>
      <c r="Y30" s="604"/>
      <c r="Z30" s="604"/>
      <c r="AA30" s="604"/>
      <c r="AB30" s="604"/>
    </row>
    <row r="31" spans="1:28" s="76" customFormat="1" ht="12.95" customHeight="1" thickBot="1">
      <c r="A31" s="213" t="s">
        <v>269</v>
      </c>
      <c r="B31" s="608" t="str">
        <f>IF(計算シート!C69=0,"　　給与・年金以外の所得の金額","")</f>
        <v>　　給与・年金以外の所得の金額</v>
      </c>
      <c r="C31" s="609"/>
      <c r="D31" s="609"/>
      <c r="E31" s="215"/>
      <c r="F31" s="469">
        <v>0</v>
      </c>
      <c r="G31" s="216" t="str">
        <f>MID(F30,SEARCH("(",F30)+1,3)</f>
        <v>JPY</v>
      </c>
      <c r="H31" s="187"/>
      <c r="I31" s="217"/>
      <c r="J31" s="218"/>
      <c r="K31" s="218"/>
      <c r="L31" s="218"/>
      <c r="M31" s="218"/>
      <c r="N31" s="219"/>
      <c r="O31" s="187"/>
      <c r="P31" s="187"/>
      <c r="Q31" s="466"/>
      <c r="R31" s="604"/>
      <c r="S31" s="604"/>
      <c r="T31" s="604"/>
      <c r="U31" s="604"/>
      <c r="V31" s="604"/>
      <c r="W31" s="604"/>
      <c r="X31" s="604"/>
      <c r="Y31" s="604"/>
      <c r="Z31" s="604"/>
      <c r="AA31" s="604"/>
      <c r="AB31" s="604"/>
    </row>
    <row r="32" spans="1:28" s="76" customFormat="1" ht="3" customHeight="1" thickTop="1">
      <c r="A32" s="187"/>
      <c r="B32" s="187"/>
      <c r="C32" s="187"/>
      <c r="D32" s="187"/>
      <c r="E32" s="187"/>
      <c r="F32" s="187"/>
      <c r="G32" s="187"/>
      <c r="H32" s="187"/>
      <c r="I32" s="187"/>
      <c r="J32" s="187"/>
      <c r="K32" s="187"/>
      <c r="L32" s="187"/>
      <c r="M32" s="187"/>
      <c r="N32" s="187"/>
      <c r="O32" s="187"/>
      <c r="P32" s="187"/>
      <c r="Q32" s="466"/>
      <c r="R32" s="604"/>
      <c r="S32" s="604"/>
      <c r="T32" s="604"/>
      <c r="U32" s="604"/>
      <c r="V32" s="604"/>
      <c r="W32" s="604"/>
      <c r="X32" s="604"/>
      <c r="Y32" s="604"/>
      <c r="Z32" s="604"/>
      <c r="AA32" s="604"/>
      <c r="AB32" s="604"/>
    </row>
    <row r="33" spans="1:28" s="76" customFormat="1" ht="14.1" customHeight="1" thickBot="1">
      <c r="A33" s="221"/>
      <c r="B33" s="221"/>
      <c r="C33" s="221"/>
      <c r="D33" s="221"/>
      <c r="E33" s="222"/>
      <c r="F33" s="223" t="str">
        <f>IF(計算シート!C69=0,"生計維持者１","申込者本人")</f>
        <v>生計維持者１</v>
      </c>
      <c r="G33" s="226"/>
      <c r="H33" s="223"/>
      <c r="I33" s="224"/>
      <c r="J33" s="221"/>
      <c r="K33" s="222"/>
      <c r="L33" s="225" t="str">
        <f>IF(計算シート!C69=0,IF(AND(F36="はい",OR(I15="その他",L15="祖父",L15="祖母")),"生計維持者１の配偶者",IF(AND(F36="はい",OR(AND(I15="父",I17="母"),AND(I15="母",I17="父"))),"生計維持者２","")),IF(F36="はい","申込者本人の配偶者",""))</f>
        <v>生計維持者２</v>
      </c>
      <c r="M33" s="225" t="s">
        <v>927</v>
      </c>
      <c r="N33" s="470"/>
      <c r="O33" s="471"/>
      <c r="P33" s="227"/>
      <c r="Q33" s="466"/>
      <c r="R33" s="604"/>
      <c r="S33" s="604"/>
      <c r="T33" s="604"/>
      <c r="U33" s="604"/>
      <c r="V33" s="604"/>
      <c r="W33" s="604"/>
      <c r="X33" s="604"/>
      <c r="Y33" s="604"/>
      <c r="Z33" s="604"/>
      <c r="AA33" s="604"/>
      <c r="AB33" s="604"/>
    </row>
    <row r="34" spans="1:28" s="76" customFormat="1" ht="15.6" customHeight="1" thickTop="1" thickBot="1">
      <c r="A34" s="188" t="str">
        <f>IF(計算シート!C69=0,"生計維持者","申込者本人")&amp;"の基本情報"</f>
        <v>生計維持者の基本情報</v>
      </c>
      <c r="B34" s="472"/>
      <c r="C34" s="472"/>
      <c r="D34" s="472"/>
      <c r="E34" s="473"/>
      <c r="F34" s="185"/>
      <c r="G34" s="185"/>
      <c r="H34" s="185"/>
      <c r="I34" s="229"/>
      <c r="J34" s="185"/>
      <c r="K34" s="228"/>
      <c r="L34" s="230" t="str">
        <f>IF(OR(L33="生計維持者１の配偶者",L33="申込者本人の配偶者"),"(配偶者の基本情報）","")</f>
        <v/>
      </c>
      <c r="M34" s="186"/>
      <c r="N34" s="392" t="s">
        <v>928</v>
      </c>
      <c r="O34" s="187"/>
      <c r="P34" s="231"/>
      <c r="Q34" s="466"/>
      <c r="R34" s="398" t="s">
        <v>1079</v>
      </c>
      <c r="S34" s="398"/>
      <c r="T34" s="396"/>
      <c r="U34" s="396"/>
      <c r="V34" s="396"/>
      <c r="W34" s="396"/>
      <c r="X34" s="396"/>
      <c r="Y34" s="396"/>
      <c r="Z34" s="396"/>
      <c r="AA34" s="396"/>
      <c r="AB34" s="396"/>
    </row>
    <row r="35" spans="1:28" s="76" customFormat="1" ht="12.95" customHeight="1" thickBot="1">
      <c r="A35" s="232" t="s">
        <v>270</v>
      </c>
      <c r="B35" s="606" t="s">
        <v>351</v>
      </c>
      <c r="C35" s="607"/>
      <c r="D35" s="607"/>
      <c r="E35" s="474"/>
      <c r="F35" s="193">
        <v>27764</v>
      </c>
      <c r="G35" s="185"/>
      <c r="H35" s="475"/>
      <c r="I35" s="229"/>
      <c r="J35" s="234" t="s">
        <v>275</v>
      </c>
      <c r="K35" s="228"/>
      <c r="L35" s="193">
        <v>27796</v>
      </c>
      <c r="M35" s="196"/>
      <c r="N35" s="392" t="s">
        <v>929</v>
      </c>
      <c r="O35" s="187"/>
      <c r="P35" s="231"/>
      <c r="Q35" s="466"/>
      <c r="R35" s="398" t="s">
        <v>762</v>
      </c>
      <c r="S35" s="398"/>
      <c r="T35" s="396"/>
      <c r="U35" s="396"/>
      <c r="V35" s="396"/>
      <c r="W35" s="396"/>
      <c r="X35" s="396"/>
      <c r="Y35" s="396"/>
      <c r="Z35" s="396"/>
      <c r="AA35" s="396"/>
      <c r="AB35" s="396"/>
    </row>
    <row r="36" spans="1:28" s="76" customFormat="1" ht="12.95" customHeight="1" thickBot="1">
      <c r="A36" s="235" t="s">
        <v>271</v>
      </c>
      <c r="B36" s="606" t="str">
        <f>IF(計算シート!C69=0,"","申込者本人に")&amp;"配偶者はいますか"</f>
        <v>配偶者はいますか</v>
      </c>
      <c r="C36" s="607"/>
      <c r="D36" s="607"/>
      <c r="E36" s="474"/>
      <c r="F36" s="199" t="s">
        <v>40</v>
      </c>
      <c r="G36" s="185"/>
      <c r="H36" s="237"/>
      <c r="I36" s="229"/>
      <c r="J36" s="236"/>
      <c r="K36" s="228"/>
      <c r="L36" s="237"/>
      <c r="M36" s="196"/>
      <c r="N36" s="392" t="s">
        <v>930</v>
      </c>
      <c r="O36" s="187"/>
      <c r="P36" s="231"/>
      <c r="Q36" s="466"/>
      <c r="R36" s="398" t="s">
        <v>924</v>
      </c>
      <c r="S36" s="395"/>
      <c r="T36" s="395"/>
      <c r="U36" s="395"/>
      <c r="V36" s="395"/>
      <c r="W36" s="395"/>
      <c r="X36" s="395"/>
      <c r="Y36" s="395"/>
      <c r="Z36" s="395"/>
      <c r="AA36" s="395"/>
      <c r="AB36" s="395"/>
    </row>
    <row r="37" spans="1:28" s="76" customFormat="1" ht="12.95" hidden="1" customHeight="1" thickBot="1">
      <c r="A37" s="235" t="s">
        <v>272</v>
      </c>
      <c r="B37" s="606" t="str">
        <f>IF(計算シート!C69=0,"　配偶者は生計維持者２ですか","")</f>
        <v>　配偶者は生計維持者２ですか</v>
      </c>
      <c r="C37" s="607"/>
      <c r="D37" s="607"/>
      <c r="E37" s="474"/>
      <c r="F37" s="199" t="str">
        <f>IF(AND(I15&lt;&gt;"その他",F36="はい"),"はい","いいえ")</f>
        <v>はい</v>
      </c>
      <c r="G37" s="185"/>
      <c r="H37" s="237"/>
      <c r="I37" s="229"/>
      <c r="J37" s="236"/>
      <c r="K37" s="228"/>
      <c r="L37" s="237"/>
      <c r="M37" s="196"/>
      <c r="N37" s="393"/>
      <c r="O37" s="187"/>
      <c r="P37" s="231"/>
      <c r="Q37" s="466"/>
      <c r="R37" s="395"/>
      <c r="S37" s="395"/>
      <c r="T37" s="395"/>
      <c r="U37" s="395"/>
      <c r="V37" s="395"/>
      <c r="W37" s="395"/>
      <c r="X37" s="395"/>
      <c r="Y37" s="395"/>
      <c r="Z37" s="395"/>
      <c r="AA37" s="395"/>
      <c r="AB37" s="395"/>
    </row>
    <row r="38" spans="1:28" s="76" customFormat="1" ht="12.95" customHeight="1" thickBot="1">
      <c r="A38" s="235" t="s">
        <v>272</v>
      </c>
      <c r="B38" s="606" t="str">
        <f>IF(AND(OR(I15&lt;&gt;"その他",I15&lt;&gt;"祖父",I15&lt;&gt;"祖母"),F36="はい"),"　生計維持者２","　配偶者")&amp;"と同居していますか"</f>
        <v>　生計維持者２と同居していますか</v>
      </c>
      <c r="C38" s="607"/>
      <c r="D38" s="615"/>
      <c r="E38" s="238"/>
      <c r="F38" s="199" t="s">
        <v>40</v>
      </c>
      <c r="G38" s="185"/>
      <c r="H38" s="237"/>
      <c r="I38" s="229"/>
      <c r="J38" s="236"/>
      <c r="K38" s="228"/>
      <c r="L38" s="185"/>
      <c r="M38" s="196"/>
      <c r="N38" s="392" t="s">
        <v>931</v>
      </c>
      <c r="O38" s="187"/>
      <c r="P38" s="231"/>
      <c r="Q38" s="466"/>
      <c r="R38" s="398" t="s">
        <v>908</v>
      </c>
      <c r="S38" s="395"/>
      <c r="T38" s="395"/>
      <c r="U38" s="395"/>
      <c r="V38" s="395"/>
      <c r="W38" s="395"/>
      <c r="X38" s="395"/>
      <c r="Y38" s="395"/>
      <c r="Z38" s="395"/>
      <c r="AA38" s="395"/>
      <c r="AB38" s="395"/>
    </row>
    <row r="39" spans="1:28" s="76" customFormat="1" ht="12.95" customHeight="1" thickBot="1">
      <c r="A39" s="235" t="s">
        <v>273</v>
      </c>
      <c r="B39" s="616" t="str">
        <f>"障がい者に該当していますか"</f>
        <v>障がい者に該当していますか</v>
      </c>
      <c r="C39" s="617"/>
      <c r="D39" s="617"/>
      <c r="E39" s="476"/>
      <c r="F39" s="201" t="s">
        <v>44</v>
      </c>
      <c r="G39" s="185"/>
      <c r="H39" s="477"/>
      <c r="I39" s="229"/>
      <c r="J39" s="240" t="s">
        <v>276</v>
      </c>
      <c r="K39" s="478"/>
      <c r="L39" s="201" t="s">
        <v>44</v>
      </c>
      <c r="M39" s="196"/>
      <c r="N39" s="392" t="s">
        <v>932</v>
      </c>
      <c r="O39" s="187"/>
      <c r="P39" s="231"/>
      <c r="Q39" s="466"/>
      <c r="R39" s="403"/>
      <c r="S39" s="398"/>
      <c r="T39" s="398"/>
      <c r="U39" s="398"/>
      <c r="V39" s="398"/>
      <c r="W39" s="398"/>
      <c r="X39" s="398"/>
      <c r="Y39" s="398"/>
      <c r="Z39" s="398"/>
      <c r="AA39" s="398"/>
      <c r="AB39" s="398"/>
    </row>
    <row r="40" spans="1:28" s="76" customFormat="1" ht="12.95" customHeight="1" thickBot="1">
      <c r="A40" s="241" t="s">
        <v>274</v>
      </c>
      <c r="B40" s="608" t="str">
        <f>IF(計算シート!C69=0,"","申込者本人は")&amp;"ひとり親ですか"</f>
        <v>ひとり親ですか</v>
      </c>
      <c r="C40" s="609"/>
      <c r="D40" s="609"/>
      <c r="E40" s="242"/>
      <c r="F40" s="239" t="s">
        <v>758</v>
      </c>
      <c r="G40" s="479"/>
      <c r="H40" s="480"/>
      <c r="I40" s="481"/>
      <c r="J40" s="482"/>
      <c r="K40" s="244"/>
      <c r="L40" s="245"/>
      <c r="M40" s="219"/>
      <c r="N40" s="392"/>
      <c r="O40" s="187"/>
      <c r="P40" s="231"/>
      <c r="Q40" s="466"/>
      <c r="R40" s="605" t="s">
        <v>940</v>
      </c>
      <c r="S40" s="604"/>
      <c r="T40" s="604"/>
      <c r="U40" s="604"/>
      <c r="V40" s="604"/>
      <c r="W40" s="604"/>
      <c r="X40" s="604"/>
      <c r="Y40" s="604"/>
      <c r="Z40" s="604"/>
      <c r="AA40" s="604"/>
      <c r="AB40" s="604"/>
    </row>
    <row r="41" spans="1:28" s="123" customFormat="1" ht="3" customHeight="1" thickTop="1" thickBot="1">
      <c r="A41" s="246"/>
      <c r="B41" s="247"/>
      <c r="C41" s="247"/>
      <c r="D41" s="247"/>
      <c r="E41" s="248"/>
      <c r="F41" s="247"/>
      <c r="G41" s="247"/>
      <c r="H41" s="247"/>
      <c r="I41" s="249"/>
      <c r="J41" s="483"/>
      <c r="K41" s="248"/>
      <c r="L41" s="250"/>
      <c r="M41" s="247"/>
      <c r="N41" s="253"/>
      <c r="O41" s="253"/>
      <c r="P41" s="251"/>
      <c r="Q41" s="484"/>
      <c r="R41" s="605"/>
      <c r="S41" s="604"/>
      <c r="T41" s="604"/>
      <c r="U41" s="604"/>
      <c r="V41" s="604"/>
      <c r="W41" s="604"/>
      <c r="X41" s="604"/>
      <c r="Y41" s="604"/>
      <c r="Z41" s="604"/>
      <c r="AA41" s="604"/>
      <c r="AB41" s="604"/>
    </row>
    <row r="42" spans="1:28" s="76" customFormat="1" ht="15.6" customHeight="1" thickTop="1" thickBot="1">
      <c r="A42" s="188" t="str">
        <f>IF(計算シート!C69=0,"生計維持者の","")&amp;"収入・所得の情報"</f>
        <v>生計維持者の収入・所得の情報</v>
      </c>
      <c r="B42" s="472"/>
      <c r="C42" s="472"/>
      <c r="D42" s="472"/>
      <c r="E42" s="473"/>
      <c r="F42" s="185"/>
      <c r="G42" s="185"/>
      <c r="H42" s="185"/>
      <c r="I42" s="229"/>
      <c r="J42" s="485"/>
      <c r="K42" s="228"/>
      <c r="L42" s="230" t="str">
        <f>IF(L33="生計維持者１の配偶者","(配偶者の収入・所得の情報）","")</f>
        <v/>
      </c>
      <c r="M42" s="186"/>
      <c r="N42" s="392" t="s">
        <v>933</v>
      </c>
      <c r="O42" s="187"/>
      <c r="P42" s="231"/>
      <c r="Q42" s="466"/>
      <c r="R42" s="605"/>
      <c r="S42" s="604"/>
      <c r="T42" s="604"/>
      <c r="U42" s="604"/>
      <c r="V42" s="604"/>
      <c r="W42" s="604"/>
      <c r="X42" s="604"/>
      <c r="Y42" s="604"/>
      <c r="Z42" s="604"/>
      <c r="AA42" s="604"/>
      <c r="AB42" s="604"/>
    </row>
    <row r="43" spans="1:28" s="76" customFormat="1" ht="12.95" customHeight="1" thickBot="1">
      <c r="A43" s="232" t="s">
        <v>277</v>
      </c>
      <c r="B43" s="618" t="s">
        <v>217</v>
      </c>
      <c r="C43" s="619"/>
      <c r="D43" s="620"/>
      <c r="E43" s="233"/>
      <c r="F43" s="203" t="s">
        <v>662</v>
      </c>
      <c r="G43" s="185"/>
      <c r="H43" s="486"/>
      <c r="I43" s="229"/>
      <c r="J43" s="234" t="s">
        <v>283</v>
      </c>
      <c r="K43" s="228"/>
      <c r="L43" s="203" t="s">
        <v>49</v>
      </c>
      <c r="M43" s="196"/>
      <c r="N43" s="392" t="s">
        <v>934</v>
      </c>
      <c r="O43" s="187"/>
      <c r="P43" s="231"/>
      <c r="Q43" s="466"/>
      <c r="R43" s="605"/>
      <c r="S43" s="604"/>
      <c r="T43" s="604"/>
      <c r="U43" s="604"/>
      <c r="V43" s="604"/>
      <c r="W43" s="604"/>
      <c r="X43" s="604"/>
      <c r="Y43" s="604"/>
      <c r="Z43" s="604"/>
      <c r="AA43" s="604"/>
      <c r="AB43" s="604"/>
    </row>
    <row r="44" spans="1:28" s="76" customFormat="1" ht="12.95" customHeight="1" thickBot="1">
      <c r="A44" s="235" t="s">
        <v>278</v>
      </c>
      <c r="B44" s="621" t="s">
        <v>219</v>
      </c>
      <c r="C44" s="622"/>
      <c r="D44" s="622"/>
      <c r="E44" s="474"/>
      <c r="F44" s="469">
        <v>59428</v>
      </c>
      <c r="G44" s="187" t="str">
        <f>MID(F43,SEARCH("(",F43)+1,3)</f>
        <v>USD</v>
      </c>
      <c r="H44" s="487"/>
      <c r="I44" s="229"/>
      <c r="J44" s="240" t="s">
        <v>284</v>
      </c>
      <c r="K44" s="228"/>
      <c r="L44" s="469">
        <v>1230000</v>
      </c>
      <c r="M44" s="194" t="str">
        <f>MID(L43,SEARCH("(",L43)+1,3)</f>
        <v>JPY</v>
      </c>
      <c r="N44" s="405" t="s">
        <v>935</v>
      </c>
      <c r="O44" s="187"/>
      <c r="P44" s="231"/>
      <c r="Q44" s="466"/>
      <c r="R44" s="605"/>
      <c r="S44" s="604"/>
      <c r="T44" s="604"/>
      <c r="U44" s="604"/>
      <c r="V44" s="604"/>
      <c r="W44" s="604"/>
      <c r="X44" s="604"/>
      <c r="Y44" s="604"/>
      <c r="Z44" s="604"/>
      <c r="AA44" s="604"/>
      <c r="AB44" s="604"/>
    </row>
    <row r="45" spans="1:28" s="76" customFormat="1" ht="12.95" customHeight="1" thickBot="1">
      <c r="A45" s="235" t="s">
        <v>279</v>
      </c>
      <c r="B45" s="621" t="s">
        <v>218</v>
      </c>
      <c r="C45" s="622"/>
      <c r="D45" s="622"/>
      <c r="E45" s="474"/>
      <c r="F45" s="203" t="s">
        <v>662</v>
      </c>
      <c r="G45" s="185"/>
      <c r="H45" s="486"/>
      <c r="I45" s="229"/>
      <c r="J45" s="240" t="s">
        <v>285</v>
      </c>
      <c r="K45" s="228"/>
      <c r="L45" s="203" t="s">
        <v>49</v>
      </c>
      <c r="M45" s="196"/>
      <c r="N45" s="405" t="s">
        <v>936</v>
      </c>
      <c r="O45" s="187"/>
      <c r="P45" s="231"/>
      <c r="Q45" s="466"/>
      <c r="R45" s="605"/>
      <c r="S45" s="604"/>
      <c r="T45" s="604"/>
      <c r="U45" s="604"/>
      <c r="V45" s="604"/>
      <c r="W45" s="604"/>
      <c r="X45" s="604"/>
      <c r="Y45" s="604"/>
      <c r="Z45" s="604"/>
      <c r="AA45" s="604"/>
      <c r="AB45" s="604"/>
    </row>
    <row r="46" spans="1:28" s="76" customFormat="1" ht="12.95" customHeight="1" thickBot="1">
      <c r="A46" s="235" t="s">
        <v>280</v>
      </c>
      <c r="B46" s="611" t="s">
        <v>220</v>
      </c>
      <c r="C46" s="612"/>
      <c r="D46" s="612"/>
      <c r="E46" s="233"/>
      <c r="F46" s="469">
        <v>0</v>
      </c>
      <c r="G46" s="187" t="str">
        <f>MID(F45,SEARCH("(",F45)+1,3)</f>
        <v>USD</v>
      </c>
      <c r="H46" s="487"/>
      <c r="I46" s="229"/>
      <c r="J46" s="240" t="s">
        <v>286</v>
      </c>
      <c r="K46" s="228"/>
      <c r="L46" s="469">
        <v>0</v>
      </c>
      <c r="M46" s="254" t="str">
        <f>MID(L45,SEARCH("(",L45)+1,3)</f>
        <v>JPY</v>
      </c>
      <c r="N46" s="488" t="s">
        <v>937</v>
      </c>
      <c r="O46" s="187"/>
      <c r="P46" s="231"/>
      <c r="Q46" s="466"/>
      <c r="R46" s="605"/>
      <c r="S46" s="604"/>
      <c r="T46" s="604"/>
      <c r="U46" s="604"/>
      <c r="V46" s="604"/>
      <c r="W46" s="604"/>
      <c r="X46" s="604"/>
      <c r="Y46" s="604"/>
      <c r="Z46" s="604"/>
      <c r="AA46" s="604"/>
      <c r="AB46" s="604"/>
    </row>
    <row r="47" spans="1:28" s="76" customFormat="1" ht="12.95" customHeight="1" thickBot="1">
      <c r="A47" s="235" t="s">
        <v>281</v>
      </c>
      <c r="B47" s="192" t="s">
        <v>248</v>
      </c>
      <c r="C47" s="300"/>
      <c r="D47" s="300"/>
      <c r="E47" s="489"/>
      <c r="F47" s="203" t="s">
        <v>662</v>
      </c>
      <c r="G47" s="185"/>
      <c r="H47" s="486"/>
      <c r="I47" s="229"/>
      <c r="J47" s="240" t="s">
        <v>287</v>
      </c>
      <c r="K47" s="228"/>
      <c r="L47" s="203" t="s">
        <v>49</v>
      </c>
      <c r="M47" s="255"/>
      <c r="N47" s="488" t="s">
        <v>938</v>
      </c>
      <c r="O47" s="187"/>
      <c r="P47" s="231"/>
      <c r="Q47" s="466"/>
      <c r="R47" s="605"/>
      <c r="S47" s="604"/>
      <c r="T47" s="604"/>
      <c r="U47" s="604"/>
      <c r="V47" s="604"/>
      <c r="W47" s="604"/>
      <c r="X47" s="604"/>
      <c r="Y47" s="604"/>
      <c r="Z47" s="604"/>
      <c r="AA47" s="604"/>
      <c r="AB47" s="604"/>
    </row>
    <row r="48" spans="1:28" s="76" customFormat="1" ht="12.95" customHeight="1" thickBot="1">
      <c r="A48" s="241" t="s">
        <v>282</v>
      </c>
      <c r="B48" s="490" t="s">
        <v>249</v>
      </c>
      <c r="C48" s="491"/>
      <c r="D48" s="492"/>
      <c r="E48" s="493"/>
      <c r="F48" s="469">
        <v>0</v>
      </c>
      <c r="G48" s="494" t="str">
        <f>MID(F47,SEARCH("(",F47)+1,3)</f>
        <v>USD</v>
      </c>
      <c r="H48" s="495"/>
      <c r="I48" s="481"/>
      <c r="J48" s="258" t="s">
        <v>288</v>
      </c>
      <c r="K48" s="259"/>
      <c r="L48" s="469">
        <v>0</v>
      </c>
      <c r="M48" s="216" t="str">
        <f>MID(L47,SEARCH("(",L47)+1,3)</f>
        <v>JPY</v>
      </c>
      <c r="N48" s="488" t="s">
        <v>939</v>
      </c>
      <c r="O48" s="187"/>
      <c r="P48" s="231"/>
      <c r="Q48" s="466"/>
      <c r="R48" s="605" t="s">
        <v>1080</v>
      </c>
      <c r="S48" s="604"/>
      <c r="T48" s="604"/>
      <c r="U48" s="604"/>
      <c r="V48" s="604"/>
      <c r="W48" s="604"/>
      <c r="X48" s="604"/>
      <c r="Y48" s="604"/>
      <c r="Z48" s="604"/>
      <c r="AA48" s="604"/>
      <c r="AB48" s="604"/>
    </row>
    <row r="49" spans="1:28" s="76" customFormat="1" ht="3" customHeight="1" thickTop="1" thickBot="1">
      <c r="A49" s="496"/>
      <c r="B49" s="221"/>
      <c r="C49" s="221"/>
      <c r="D49" s="221"/>
      <c r="E49" s="260"/>
      <c r="F49" s="221"/>
      <c r="G49" s="261"/>
      <c r="H49" s="221"/>
      <c r="I49" s="261"/>
      <c r="J49" s="496"/>
      <c r="K49" s="260"/>
      <c r="L49" s="221"/>
      <c r="M49" s="221"/>
      <c r="N49" s="221"/>
      <c r="O49" s="221"/>
      <c r="P49" s="231"/>
      <c r="Q49" s="466"/>
      <c r="R49" s="605"/>
      <c r="S49" s="604"/>
      <c r="T49" s="604"/>
      <c r="U49" s="604"/>
      <c r="V49" s="604"/>
      <c r="W49" s="604"/>
      <c r="X49" s="604"/>
      <c r="Y49" s="604"/>
      <c r="Z49" s="604"/>
      <c r="AA49" s="604"/>
      <c r="AB49" s="604"/>
    </row>
    <row r="50" spans="1:28" s="76" customFormat="1" ht="15.6" customHeight="1" thickTop="1" thickBot="1">
      <c r="A50" s="497" t="str">
        <f>IF(計算シート!C69=0,"生計維持者の","")&amp;"扶養の情報（本人や他の生計維持者、配偶者は含めないでください）"</f>
        <v>生計維持者の扶養の情報（本人や他の生計維持者、配偶者は含めないでください）</v>
      </c>
      <c r="B50" s="498"/>
      <c r="C50" s="498"/>
      <c r="D50" s="498"/>
      <c r="E50" s="498"/>
      <c r="F50" s="499"/>
      <c r="G50" s="229"/>
      <c r="H50" s="500"/>
      <c r="I50" s="229"/>
      <c r="J50" s="485"/>
      <c r="K50" s="228"/>
      <c r="L50" s="230" t="str">
        <f>IF(L33="生計維持者１の配偶者","(配偶者の扶養の情報）","")</f>
        <v/>
      </c>
      <c r="M50" s="189"/>
      <c r="N50" s="230"/>
      <c r="O50" s="186"/>
      <c r="P50" s="231"/>
      <c r="Q50" s="466"/>
      <c r="R50" s="605"/>
      <c r="S50" s="604"/>
      <c r="T50" s="604"/>
      <c r="U50" s="604"/>
      <c r="V50" s="604"/>
      <c r="W50" s="604"/>
      <c r="X50" s="604"/>
      <c r="Y50" s="604"/>
      <c r="Z50" s="604"/>
      <c r="AA50" s="604"/>
      <c r="AB50" s="604"/>
    </row>
    <row r="51" spans="1:28" s="76" customFormat="1" ht="12.95" customHeight="1" thickBot="1">
      <c r="A51" s="235" t="s">
        <v>289</v>
      </c>
      <c r="B51" s="606" t="s">
        <v>0</v>
      </c>
      <c r="C51" s="607"/>
      <c r="D51" s="607"/>
      <c r="E51" s="474"/>
      <c r="F51" s="199">
        <v>0</v>
      </c>
      <c r="G51" s="501" t="s">
        <v>48</v>
      </c>
      <c r="H51" s="502"/>
      <c r="I51" s="229"/>
      <c r="J51" s="240" t="s">
        <v>949</v>
      </c>
      <c r="K51" s="228"/>
      <c r="L51" s="199">
        <v>0</v>
      </c>
      <c r="M51" s="501" t="s">
        <v>48</v>
      </c>
      <c r="N51" s="502"/>
      <c r="O51" s="196"/>
      <c r="P51" s="231"/>
      <c r="Q51" s="466"/>
      <c r="R51" s="605"/>
      <c r="S51" s="604"/>
      <c r="T51" s="604"/>
      <c r="U51" s="604"/>
      <c r="V51" s="604"/>
      <c r="W51" s="604"/>
      <c r="X51" s="604"/>
      <c r="Y51" s="604"/>
      <c r="Z51" s="604"/>
      <c r="AA51" s="604"/>
      <c r="AB51" s="604"/>
    </row>
    <row r="52" spans="1:28" s="76" customFormat="1" ht="12.95" customHeight="1" thickBot="1">
      <c r="A52" s="235" t="s">
        <v>290</v>
      </c>
      <c r="B52" s="606" t="s">
        <v>1</v>
      </c>
      <c r="C52" s="607"/>
      <c r="D52" s="607"/>
      <c r="E52" s="474"/>
      <c r="F52" s="199">
        <v>0</v>
      </c>
      <c r="G52" s="503" t="s">
        <v>48</v>
      </c>
      <c r="H52" s="504" t="str">
        <f>"うち"&amp;IF(計算シート!C69=0,"生計維","申込者")</f>
        <v>うち生計維</v>
      </c>
      <c r="I52" s="229"/>
      <c r="J52" s="240" t="s">
        <v>950</v>
      </c>
      <c r="K52" s="228"/>
      <c r="L52" s="199">
        <v>0</v>
      </c>
      <c r="M52" s="503" t="s">
        <v>48</v>
      </c>
      <c r="N52" s="406" t="str">
        <f>"うち★の"</f>
        <v>うち★の</v>
      </c>
      <c r="O52" s="196"/>
      <c r="P52" s="231"/>
      <c r="Q52" s="466"/>
      <c r="R52" s="605"/>
      <c r="S52" s="604"/>
      <c r="T52" s="604"/>
      <c r="U52" s="604"/>
      <c r="V52" s="604"/>
      <c r="W52" s="604"/>
      <c r="X52" s="604"/>
      <c r="Y52" s="604"/>
      <c r="Z52" s="604"/>
      <c r="AA52" s="604"/>
      <c r="AB52" s="604"/>
    </row>
    <row r="53" spans="1:28" s="76" customFormat="1" ht="12.95" customHeight="1" thickBot="1">
      <c r="A53" s="235" t="s">
        <v>291</v>
      </c>
      <c r="B53" s="606" t="s">
        <v>2</v>
      </c>
      <c r="C53" s="607"/>
      <c r="D53" s="607"/>
      <c r="E53" s="474"/>
      <c r="F53" s="199">
        <v>0</v>
      </c>
      <c r="G53" s="503" t="s">
        <v>48</v>
      </c>
      <c r="H53" s="505" t="str">
        <f>IF(計算シート!C69=0,"持者１より","本人より")</f>
        <v>持者１より</v>
      </c>
      <c r="I53" s="229"/>
      <c r="J53" s="240" t="s">
        <v>951</v>
      </c>
      <c r="K53" s="228"/>
      <c r="L53" s="199">
        <v>0</v>
      </c>
      <c r="M53" s="503" t="s">
        <v>48</v>
      </c>
      <c r="N53" s="506" t="str">
        <f>"者より"</f>
        <v>者より</v>
      </c>
      <c r="O53" s="196"/>
      <c r="P53" s="231"/>
      <c r="Q53" s="187"/>
      <c r="R53" s="605" t="s">
        <v>1096</v>
      </c>
      <c r="S53" s="604"/>
      <c r="T53" s="604"/>
      <c r="U53" s="604"/>
      <c r="V53" s="604"/>
      <c r="W53" s="604"/>
      <c r="X53" s="604"/>
      <c r="Y53" s="604"/>
      <c r="Z53" s="604"/>
      <c r="AA53" s="604"/>
      <c r="AB53" s="604"/>
    </row>
    <row r="54" spans="1:28" s="76" customFormat="1" ht="12.95" customHeight="1" thickBot="1">
      <c r="A54" s="235" t="s">
        <v>942</v>
      </c>
      <c r="B54" s="623" t="s">
        <v>941</v>
      </c>
      <c r="C54" s="624"/>
      <c r="D54" s="625"/>
      <c r="E54" s="438"/>
      <c r="F54" s="507">
        <v>1</v>
      </c>
      <c r="G54" s="503" t="s">
        <v>48</v>
      </c>
      <c r="H54" s="505" t="s">
        <v>766</v>
      </c>
      <c r="I54" s="229"/>
      <c r="J54" s="240" t="s">
        <v>952</v>
      </c>
      <c r="K54" s="228"/>
      <c r="L54" s="199">
        <v>0</v>
      </c>
      <c r="M54" s="503" t="s">
        <v>48</v>
      </c>
      <c r="N54" s="508" t="s">
        <v>766</v>
      </c>
      <c r="O54" s="196"/>
      <c r="P54" s="231"/>
      <c r="Q54" s="187"/>
      <c r="R54" s="605"/>
      <c r="S54" s="604"/>
      <c r="T54" s="604"/>
      <c r="U54" s="604"/>
      <c r="V54" s="604"/>
      <c r="W54" s="604"/>
      <c r="X54" s="604"/>
      <c r="Y54" s="604"/>
      <c r="Z54" s="604"/>
      <c r="AA54" s="604"/>
      <c r="AB54" s="604"/>
    </row>
    <row r="55" spans="1:28" s="76" customFormat="1" ht="12.95" customHeight="1" thickBot="1">
      <c r="A55" s="235" t="s">
        <v>943</v>
      </c>
      <c r="B55" s="606" t="s">
        <v>3</v>
      </c>
      <c r="C55" s="607"/>
      <c r="D55" s="615"/>
      <c r="E55" s="474"/>
      <c r="F55" s="199">
        <v>3</v>
      </c>
      <c r="G55" s="501" t="s">
        <v>48</v>
      </c>
      <c r="H55" s="199">
        <v>2</v>
      </c>
      <c r="I55" s="509" t="s">
        <v>48</v>
      </c>
      <c r="J55" s="240" t="s">
        <v>953</v>
      </c>
      <c r="K55" s="228"/>
      <c r="L55" s="199">
        <v>0</v>
      </c>
      <c r="M55" s="501" t="s">
        <v>48</v>
      </c>
      <c r="N55" s="199">
        <v>0</v>
      </c>
      <c r="O55" s="254" t="s">
        <v>48</v>
      </c>
      <c r="P55" s="231"/>
      <c r="Q55" s="187"/>
      <c r="R55" s="605"/>
      <c r="S55" s="604"/>
      <c r="T55" s="604"/>
      <c r="U55" s="604"/>
      <c r="V55" s="604"/>
      <c r="W55" s="604"/>
      <c r="X55" s="604"/>
      <c r="Y55" s="604"/>
      <c r="Z55" s="604"/>
      <c r="AA55" s="604"/>
      <c r="AB55" s="604"/>
    </row>
    <row r="56" spans="1:28" s="76" customFormat="1" ht="12.95" customHeight="1" thickBot="1">
      <c r="A56" s="235" t="s">
        <v>944</v>
      </c>
      <c r="B56" s="606" t="s">
        <v>4</v>
      </c>
      <c r="C56" s="607"/>
      <c r="D56" s="607"/>
      <c r="E56" s="474"/>
      <c r="F56" s="199">
        <v>0</v>
      </c>
      <c r="G56" s="501" t="s">
        <v>48</v>
      </c>
      <c r="H56" s="394" t="s">
        <v>900</v>
      </c>
      <c r="I56" s="229"/>
      <c r="J56" s="240" t="s">
        <v>954</v>
      </c>
      <c r="K56" s="228"/>
      <c r="L56" s="199">
        <v>0</v>
      </c>
      <c r="M56" s="501" t="s">
        <v>48</v>
      </c>
      <c r="N56" s="394" t="str">
        <f>IF(F36="はい","(項番43の内数)","")</f>
        <v>(項番43の内数)</v>
      </c>
      <c r="O56" s="196"/>
      <c r="P56" s="231"/>
      <c r="Q56" s="187"/>
      <c r="R56" s="605"/>
      <c r="S56" s="604"/>
      <c r="T56" s="604"/>
      <c r="U56" s="604"/>
      <c r="V56" s="604"/>
      <c r="W56" s="604"/>
      <c r="X56" s="604"/>
      <c r="Y56" s="604"/>
      <c r="Z56" s="604"/>
      <c r="AA56" s="604"/>
      <c r="AB56" s="604"/>
    </row>
    <row r="57" spans="1:28" s="76" customFormat="1" ht="12.95" customHeight="1" thickBot="1">
      <c r="A57" s="235" t="s">
        <v>945</v>
      </c>
      <c r="B57" s="606" t="s">
        <v>5</v>
      </c>
      <c r="C57" s="607"/>
      <c r="D57" s="607"/>
      <c r="E57" s="474"/>
      <c r="F57" s="199">
        <v>0</v>
      </c>
      <c r="G57" s="501" t="s">
        <v>48</v>
      </c>
      <c r="H57" s="237"/>
      <c r="I57" s="229"/>
      <c r="J57" s="240" t="s">
        <v>955</v>
      </c>
      <c r="K57" s="228"/>
      <c r="L57" s="199">
        <v>0</v>
      </c>
      <c r="M57" s="187" t="s">
        <v>48</v>
      </c>
      <c r="N57" s="237"/>
      <c r="O57" s="196"/>
      <c r="P57" s="231"/>
      <c r="Q57" s="187"/>
      <c r="R57" s="605"/>
      <c r="S57" s="604"/>
      <c r="T57" s="604"/>
      <c r="U57" s="604"/>
      <c r="V57" s="604"/>
      <c r="W57" s="604"/>
      <c r="X57" s="604"/>
      <c r="Y57" s="604"/>
      <c r="Z57" s="604"/>
      <c r="AA57" s="604"/>
      <c r="AB57" s="604"/>
    </row>
    <row r="58" spans="1:28" s="76" customFormat="1" ht="12.95" customHeight="1" thickBot="1">
      <c r="A58" s="235" t="s">
        <v>946</v>
      </c>
      <c r="B58" s="606" t="s">
        <v>244</v>
      </c>
      <c r="C58" s="607"/>
      <c r="D58" s="607"/>
      <c r="E58" s="474"/>
      <c r="F58" s="199">
        <v>0</v>
      </c>
      <c r="G58" s="501" t="s">
        <v>48</v>
      </c>
      <c r="H58" s="237"/>
      <c r="I58" s="229"/>
      <c r="J58" s="240" t="s">
        <v>956</v>
      </c>
      <c r="K58" s="228"/>
      <c r="L58" s="199">
        <v>0</v>
      </c>
      <c r="M58" s="187" t="s">
        <v>48</v>
      </c>
      <c r="N58" s="237"/>
      <c r="O58" s="196"/>
      <c r="P58" s="231"/>
      <c r="Q58" s="187"/>
      <c r="R58" s="605"/>
      <c r="S58" s="604"/>
      <c r="T58" s="604"/>
      <c r="U58" s="604"/>
      <c r="V58" s="604"/>
      <c r="W58" s="604"/>
      <c r="X58" s="604"/>
      <c r="Y58" s="604"/>
      <c r="Z58" s="604"/>
      <c r="AA58" s="604"/>
      <c r="AB58" s="604"/>
    </row>
    <row r="59" spans="1:28" s="76" customFormat="1" ht="12.95" customHeight="1" thickBot="1">
      <c r="A59" s="235" t="s">
        <v>947</v>
      </c>
      <c r="B59" s="606" t="s">
        <v>245</v>
      </c>
      <c r="C59" s="607"/>
      <c r="D59" s="607"/>
      <c r="E59" s="510"/>
      <c r="F59" s="199">
        <v>0</v>
      </c>
      <c r="G59" s="501" t="s">
        <v>48</v>
      </c>
      <c r="H59" s="237"/>
      <c r="I59" s="229"/>
      <c r="J59" s="240" t="s">
        <v>307</v>
      </c>
      <c r="K59" s="228"/>
      <c r="L59" s="199">
        <v>0</v>
      </c>
      <c r="M59" s="187" t="s">
        <v>48</v>
      </c>
      <c r="N59" s="237"/>
      <c r="O59" s="196"/>
      <c r="P59" s="231"/>
      <c r="Q59" s="466"/>
      <c r="R59" s="604" t="s">
        <v>1089</v>
      </c>
      <c r="S59" s="604"/>
      <c r="T59" s="604"/>
      <c r="U59" s="604"/>
      <c r="V59" s="604"/>
      <c r="W59" s="604"/>
      <c r="X59" s="604"/>
      <c r="Y59" s="604"/>
      <c r="Z59" s="604"/>
      <c r="AA59" s="604"/>
      <c r="AB59" s="604"/>
    </row>
    <row r="60" spans="1:28" s="76" customFormat="1" ht="12.95" customHeight="1" thickBot="1">
      <c r="A60" s="241" t="s">
        <v>948</v>
      </c>
      <c r="B60" s="608" t="s">
        <v>246</v>
      </c>
      <c r="C60" s="609"/>
      <c r="D60" s="609"/>
      <c r="E60" s="242"/>
      <c r="F60" s="199">
        <v>0</v>
      </c>
      <c r="G60" s="494" t="s">
        <v>48</v>
      </c>
      <c r="H60" s="511"/>
      <c r="I60" s="481"/>
      <c r="J60" s="266" t="s">
        <v>957</v>
      </c>
      <c r="K60" s="259"/>
      <c r="L60" s="199">
        <v>0</v>
      </c>
      <c r="M60" s="494" t="s">
        <v>48</v>
      </c>
      <c r="N60" s="511"/>
      <c r="O60" s="219"/>
      <c r="P60" s="231"/>
      <c r="Q60" s="466"/>
      <c r="R60" s="604"/>
      <c r="S60" s="604"/>
      <c r="T60" s="604"/>
      <c r="U60" s="604"/>
      <c r="V60" s="604"/>
      <c r="W60" s="604"/>
      <c r="X60" s="604"/>
      <c r="Y60" s="604"/>
      <c r="Z60" s="604"/>
      <c r="AA60" s="604"/>
      <c r="AB60" s="604"/>
    </row>
    <row r="61" spans="1:28" ht="3" customHeight="1" thickTop="1">
      <c r="A61" s="166"/>
      <c r="B61" s="166"/>
      <c r="C61" s="166"/>
      <c r="D61" s="166"/>
      <c r="E61" s="267"/>
      <c r="F61" s="268"/>
      <c r="G61" s="269"/>
      <c r="H61" s="268"/>
      <c r="I61" s="269"/>
      <c r="J61" s="166"/>
      <c r="K61" s="267"/>
      <c r="L61" s="270"/>
      <c r="M61" s="270"/>
      <c r="N61" s="270"/>
      <c r="O61" s="270"/>
      <c r="P61" s="269"/>
      <c r="Q61" s="446"/>
      <c r="R61" s="604"/>
      <c r="S61" s="604"/>
      <c r="T61" s="604"/>
      <c r="U61" s="604"/>
      <c r="V61" s="604"/>
      <c r="W61" s="604"/>
      <c r="X61" s="604"/>
      <c r="Y61" s="604"/>
      <c r="Z61" s="604"/>
      <c r="AA61" s="604"/>
      <c r="AB61" s="604"/>
    </row>
    <row r="62" spans="1:28" ht="3.75" customHeight="1">
      <c r="A62" s="166"/>
      <c r="B62" s="166"/>
      <c r="C62" s="166"/>
      <c r="D62" s="166"/>
      <c r="E62" s="166"/>
      <c r="F62" s="166"/>
      <c r="G62" s="166"/>
      <c r="H62" s="166"/>
      <c r="I62" s="166"/>
      <c r="J62" s="166"/>
      <c r="K62" s="166"/>
      <c r="L62" s="166"/>
      <c r="M62" s="166"/>
      <c r="N62" s="166"/>
      <c r="O62" s="166"/>
      <c r="P62" s="166"/>
      <c r="Q62" s="446"/>
      <c r="R62" s="604"/>
      <c r="S62" s="604"/>
      <c r="T62" s="604"/>
      <c r="U62" s="604"/>
      <c r="V62" s="604"/>
      <c r="W62" s="604"/>
      <c r="X62" s="604"/>
      <c r="Y62" s="604"/>
      <c r="Z62" s="604"/>
      <c r="AA62" s="604"/>
      <c r="AB62" s="604"/>
    </row>
    <row r="63" spans="1:28">
      <c r="A63" s="166"/>
      <c r="B63" s="166" t="s">
        <v>252</v>
      </c>
      <c r="C63" s="166"/>
      <c r="D63" s="166"/>
      <c r="E63" s="166"/>
      <c r="F63" s="166"/>
      <c r="G63" s="166"/>
      <c r="H63" s="166"/>
      <c r="I63" s="166"/>
      <c r="J63" s="166"/>
      <c r="K63" s="166"/>
      <c r="L63" s="166"/>
      <c r="M63" s="166"/>
      <c r="N63" s="166"/>
      <c r="O63" s="166"/>
      <c r="P63" s="166"/>
      <c r="Q63" s="446"/>
      <c r="R63" s="396" t="s">
        <v>492</v>
      </c>
      <c r="S63" s="395"/>
      <c r="T63" s="395"/>
      <c r="U63" s="395"/>
      <c r="V63" s="395"/>
      <c r="W63" s="395"/>
      <c r="X63" s="395"/>
      <c r="Y63" s="395"/>
      <c r="Z63" s="395"/>
      <c r="AA63" s="395"/>
      <c r="AB63" s="395"/>
    </row>
    <row r="64" spans="1:28" ht="13.5" customHeight="1">
      <c r="B64" s="73" t="str">
        <f>"１　"&amp;IF(計算シート!C69=0,"全ての生計維持者","本人及び配偶者")&amp;"の情報を入力したうえで印刷し、収入等の証明書類（和訳付）を添付してください。国内外を問わず扶養親族がいる場合、"</f>
        <v>１　全ての生計維持者の情報を入力したうえで印刷し、収入等の証明書類（和訳付）を添付してください。国内外を問わず扶養親族がいる場合、</v>
      </c>
      <c r="C64" s="73"/>
      <c r="D64" s="73"/>
      <c r="E64" s="73"/>
      <c r="F64" s="73"/>
      <c r="Q64" s="402"/>
      <c r="R64" s="604" t="s">
        <v>503</v>
      </c>
      <c r="S64" s="604"/>
      <c r="T64" s="604"/>
      <c r="U64" s="604"/>
      <c r="V64" s="604"/>
      <c r="W64" s="604"/>
      <c r="X64" s="604"/>
      <c r="Y64" s="604"/>
      <c r="Z64" s="604"/>
      <c r="AA64" s="604"/>
      <c r="AB64" s="604"/>
    </row>
    <row r="65" spans="1:28" ht="13.5" customHeight="1">
      <c r="B65" s="74" t="str">
        <f>"　"&amp;IF(計算シート!C69=0,"生計維持","扶養")&amp;"者との関係を明らかにする書類も必要です。国内に居住している"&amp;IF(計算シート!C69=0,"生計維持者","本人又は配偶者")&amp;"については、マイナンバーを提出してください。"</f>
        <v>　生計維持者との関係を明らかにする書類も必要です。国内に居住している生計維持者については、マイナンバーを提出してください。</v>
      </c>
      <c r="C65" s="74"/>
      <c r="D65" s="74"/>
      <c r="E65" s="74"/>
      <c r="F65" s="74"/>
      <c r="Q65" s="402"/>
      <c r="R65" s="604"/>
      <c r="S65" s="604"/>
      <c r="T65" s="604"/>
      <c r="U65" s="604"/>
      <c r="V65" s="604"/>
      <c r="W65" s="604"/>
      <c r="X65" s="604"/>
      <c r="Y65" s="604"/>
      <c r="Z65" s="604"/>
      <c r="AA65" s="604"/>
      <c r="AB65" s="604"/>
    </row>
    <row r="66" spans="1:28">
      <c r="B66" s="74" t="str">
        <f>"２　選択肢に存在する通貨のレートは、日本銀行が報告する"&amp;YEAR(計算シート!C47)&amp;"年１月分の報告省令レートに基づき当機構が換算します。"</f>
        <v>２　選択肢に存在する通貨のレートは、日本銀行が報告する2026年１月分の報告省令レートに基づき当機構が換算します。</v>
      </c>
      <c r="C66" s="74"/>
      <c r="D66" s="74"/>
      <c r="E66" s="74"/>
      <c r="F66" s="74"/>
      <c r="Q66" s="402"/>
      <c r="R66" s="604"/>
      <c r="S66" s="604"/>
      <c r="T66" s="604"/>
      <c r="U66" s="604"/>
      <c r="V66" s="604"/>
      <c r="W66" s="604"/>
      <c r="X66" s="604"/>
      <c r="Y66" s="604"/>
      <c r="Z66" s="604"/>
      <c r="AA66" s="604"/>
      <c r="AB66" s="604"/>
    </row>
    <row r="67" spans="1:28">
      <c r="B67" s="74" t="str">
        <f>"　選択肢に存在しない通貨については、入力時に米ドルに換算（"&amp;YEAR(計算シート!C47)&amp;"年1月1日時点のレート）して、米ドルを選択して入力してください。"</f>
        <v>　選択肢に存在しない通貨については、入力時に米ドルに換算（2026年1月1日時点のレート）して、米ドルを選択して入力してください。</v>
      </c>
      <c r="C67" s="74"/>
      <c r="D67" s="74"/>
      <c r="E67" s="74"/>
      <c r="F67" s="74"/>
      <c r="Q67" s="402"/>
      <c r="R67" s="604"/>
      <c r="S67" s="604"/>
      <c r="T67" s="604"/>
      <c r="U67" s="604"/>
      <c r="V67" s="604"/>
      <c r="W67" s="604"/>
      <c r="X67" s="604"/>
      <c r="Y67" s="604"/>
      <c r="Z67" s="604"/>
      <c r="AA67" s="604"/>
      <c r="AB67" s="604"/>
    </row>
    <row r="68" spans="1:28" ht="13.5" customHeight="1">
      <c r="B68" s="74" t="s">
        <v>355</v>
      </c>
      <c r="C68" s="74"/>
      <c r="D68" s="74"/>
      <c r="E68" s="74"/>
      <c r="F68" s="74"/>
      <c r="Q68" s="402"/>
      <c r="R68" s="604" t="s">
        <v>921</v>
      </c>
      <c r="S68" s="604"/>
      <c r="T68" s="604"/>
      <c r="U68" s="604"/>
      <c r="V68" s="604"/>
      <c r="W68" s="604"/>
      <c r="X68" s="604"/>
      <c r="Y68" s="604"/>
      <c r="Z68" s="604"/>
      <c r="AA68" s="604"/>
      <c r="AB68" s="604"/>
    </row>
    <row r="69" spans="1:28" ht="10.5" customHeight="1">
      <c r="B69" s="74" t="s">
        <v>247</v>
      </c>
      <c r="C69" s="74"/>
      <c r="D69" s="74"/>
      <c r="E69" s="74"/>
      <c r="F69" s="74"/>
      <c r="Q69" s="402"/>
      <c r="R69" s="604"/>
      <c r="S69" s="604"/>
      <c r="T69" s="604"/>
      <c r="U69" s="604"/>
      <c r="V69" s="604"/>
      <c r="W69" s="604"/>
      <c r="X69" s="604"/>
      <c r="Y69" s="604"/>
      <c r="Z69" s="604"/>
      <c r="AA69" s="604"/>
      <c r="AB69" s="604"/>
    </row>
    <row r="70" spans="1:28" ht="13.5" customHeight="1">
      <c r="B70" s="274" t="str">
        <f>海外居住者のための収入等申告書!B70</f>
        <v>　また、「扶養親族」とは、生計維持者の配偶者でない６親等内の血族又は３親等内の姻族で、他者の扶養親族になっておらず、合計所得金額が</v>
      </c>
      <c r="C70" s="274"/>
      <c r="D70" s="274"/>
      <c r="E70" s="274"/>
      <c r="F70" s="274"/>
      <c r="Q70" s="402"/>
      <c r="R70" s="604"/>
      <c r="S70" s="604"/>
      <c r="T70" s="604"/>
      <c r="U70" s="604"/>
      <c r="V70" s="604"/>
      <c r="W70" s="604"/>
      <c r="X70" s="604"/>
      <c r="Y70" s="604"/>
      <c r="Z70" s="604"/>
      <c r="AA70" s="604"/>
      <c r="AB70" s="604"/>
    </row>
    <row r="71" spans="1:28" ht="13.5" customHeight="1">
      <c r="A71" s="39"/>
      <c r="B71" s="274" t="str">
        <f>海外居住者のための収入等申告書!B71</f>
        <v>　58万円以下の、生計維持者と生計を一にしている者（別住所でも可）をいいます。「特定親族」については「記入例と注意事項」を参照してください。</v>
      </c>
      <c r="C71" s="274"/>
      <c r="D71" s="274"/>
      <c r="E71" s="274"/>
      <c r="F71" s="274"/>
      <c r="G71" s="39"/>
      <c r="H71" s="39"/>
      <c r="I71" s="39"/>
      <c r="J71" s="39"/>
      <c r="K71" s="39"/>
      <c r="L71" s="39"/>
      <c r="M71" s="39"/>
      <c r="N71" s="39"/>
      <c r="O71" s="39"/>
      <c r="P71" s="39"/>
      <c r="Q71" s="546"/>
      <c r="R71" s="604"/>
      <c r="S71" s="604"/>
      <c r="T71" s="604"/>
      <c r="U71" s="604"/>
      <c r="V71" s="604"/>
      <c r="W71" s="604"/>
      <c r="X71" s="604"/>
      <c r="Y71" s="604"/>
      <c r="Z71" s="604"/>
      <c r="AA71" s="604"/>
      <c r="AB71" s="604"/>
    </row>
    <row r="72" spans="1:28" ht="13.5" customHeight="1">
      <c r="A72" s="384"/>
      <c r="B72" s="158" t="s">
        <v>356</v>
      </c>
      <c r="C72" s="158"/>
      <c r="D72" s="158"/>
      <c r="E72" s="158"/>
      <c r="F72" s="158"/>
      <c r="G72" s="384"/>
      <c r="H72" s="384"/>
      <c r="I72" s="384"/>
      <c r="J72" s="384"/>
      <c r="K72" s="384"/>
      <c r="L72" s="384"/>
      <c r="M72" s="384"/>
      <c r="N72" s="384"/>
      <c r="O72" s="384"/>
      <c r="P72" s="384"/>
      <c r="Q72" s="547"/>
      <c r="R72" s="604" t="s">
        <v>504</v>
      </c>
      <c r="S72" s="604"/>
      <c r="T72" s="604"/>
      <c r="U72" s="604"/>
      <c r="V72" s="604"/>
      <c r="W72" s="604"/>
      <c r="X72" s="604"/>
      <c r="Y72" s="604"/>
      <c r="Z72" s="604"/>
      <c r="AA72" s="604"/>
      <c r="AB72" s="604"/>
    </row>
    <row r="73" spans="1:28">
      <c r="A73" s="39"/>
      <c r="B73" s="39" t="s">
        <v>243</v>
      </c>
      <c r="C73" s="39"/>
      <c r="D73" s="39"/>
      <c r="E73" s="39"/>
      <c r="F73" s="39"/>
      <c r="G73" s="39"/>
      <c r="H73" s="39"/>
      <c r="I73" s="39"/>
      <c r="J73" s="39"/>
      <c r="K73" s="39"/>
      <c r="L73" s="39"/>
      <c r="M73" s="39"/>
      <c r="N73" s="39"/>
      <c r="O73" s="39"/>
      <c r="P73" s="39"/>
      <c r="Q73" s="546"/>
      <c r="R73" s="604"/>
      <c r="S73" s="604"/>
      <c r="T73" s="604"/>
      <c r="U73" s="604"/>
      <c r="V73" s="604"/>
      <c r="W73" s="604"/>
      <c r="X73" s="604"/>
      <c r="Y73" s="604"/>
      <c r="Z73" s="604"/>
      <c r="AA73" s="604"/>
      <c r="AB73" s="604"/>
    </row>
    <row r="74" spans="1:28" ht="10.5" customHeight="1">
      <c r="A74" s="281"/>
      <c r="B74" s="528" t="s">
        <v>914</v>
      </c>
      <c r="C74" s="529">
        <v>0</v>
      </c>
      <c r="D74" s="530"/>
      <c r="E74" s="291"/>
      <c r="F74" s="531"/>
      <c r="G74" s="532" t="s">
        <v>770</v>
      </c>
      <c r="H74" s="387">
        <v>3</v>
      </c>
      <c r="I74" s="601" t="s">
        <v>772</v>
      </c>
      <c r="J74" s="602"/>
      <c r="K74" s="533">
        <v>0</v>
      </c>
      <c r="L74" s="274"/>
      <c r="M74" s="274"/>
      <c r="N74" s="274"/>
      <c r="O74" s="274"/>
      <c r="P74" s="39"/>
      <c r="Q74" s="546"/>
      <c r="R74" s="274" t="s">
        <v>363</v>
      </c>
      <c r="S74" s="162"/>
      <c r="T74" s="162"/>
      <c r="U74" s="162"/>
      <c r="V74" s="162"/>
      <c r="W74" s="162"/>
      <c r="X74" s="162"/>
      <c r="Y74" s="162"/>
      <c r="Z74" s="162"/>
      <c r="AA74" s="162"/>
      <c r="AB74" s="162"/>
    </row>
    <row r="75" spans="1:28" ht="10.5" customHeight="1">
      <c r="A75" s="281"/>
      <c r="B75" s="282" t="s">
        <v>915</v>
      </c>
      <c r="C75" s="534">
        <v>301500</v>
      </c>
      <c r="D75" s="535">
        <v>144900</v>
      </c>
      <c r="E75" s="536"/>
      <c r="F75" s="537"/>
      <c r="G75" s="386" t="s">
        <v>771</v>
      </c>
      <c r="H75" s="388">
        <v>0</v>
      </c>
      <c r="I75" s="274"/>
      <c r="J75" s="274"/>
      <c r="K75" s="274"/>
      <c r="L75" s="538"/>
      <c r="M75" s="538"/>
      <c r="N75" s="538"/>
      <c r="O75" s="274"/>
      <c r="P75" s="39"/>
      <c r="Q75" s="546"/>
      <c r="R75" s="274" t="s">
        <v>505</v>
      </c>
      <c r="S75" s="162"/>
      <c r="T75" s="162"/>
      <c r="U75" s="162"/>
      <c r="V75" s="162"/>
      <c r="W75" s="162"/>
      <c r="X75" s="162"/>
      <c r="Y75" s="162"/>
      <c r="Z75" s="162"/>
      <c r="AA75" s="162"/>
      <c r="AB75" s="162"/>
    </row>
    <row r="76" spans="1:28" ht="10.5" customHeight="1">
      <c r="A76" s="39"/>
      <c r="B76" s="539" t="s">
        <v>916</v>
      </c>
      <c r="C76" s="540">
        <v>301500</v>
      </c>
      <c r="D76" s="541">
        <v>144900</v>
      </c>
      <c r="E76" s="542"/>
      <c r="F76" s="538"/>
      <c r="G76" s="543"/>
      <c r="H76" s="39"/>
      <c r="I76" s="274"/>
      <c r="J76" s="274"/>
      <c r="K76" s="274"/>
      <c r="L76" s="39"/>
      <c r="M76" s="538"/>
      <c r="N76" s="538"/>
      <c r="O76" s="274"/>
      <c r="P76" s="39"/>
      <c r="Q76" s="548"/>
      <c r="S76" s="304"/>
      <c r="T76" s="304"/>
      <c r="U76" s="304"/>
      <c r="V76" s="304"/>
      <c r="W76" s="304"/>
      <c r="X76" s="304"/>
      <c r="Y76" s="304"/>
      <c r="Z76" s="304"/>
      <c r="AA76" s="304"/>
      <c r="AB76" s="304"/>
    </row>
    <row r="77" spans="1:28" ht="1.9" customHeight="1" thickBot="1">
      <c r="A77" s="431"/>
      <c r="B77" s="549"/>
      <c r="C77" s="550"/>
      <c r="D77" s="551"/>
      <c r="E77" s="549"/>
      <c r="F77" s="552"/>
      <c r="G77" s="431"/>
      <c r="H77" s="431"/>
      <c r="I77" s="553"/>
      <c r="J77" s="553"/>
      <c r="K77" s="553"/>
      <c r="L77" s="431"/>
      <c r="M77" s="552"/>
      <c r="N77" s="552"/>
      <c r="O77" s="553"/>
      <c r="P77" s="431"/>
      <c r="Q77" s="554"/>
      <c r="R77" s="431"/>
      <c r="S77" s="432"/>
      <c r="T77" s="432"/>
      <c r="U77" s="432"/>
      <c r="V77" s="432"/>
      <c r="W77" s="432"/>
      <c r="X77" s="432"/>
      <c r="Y77" s="432"/>
      <c r="Z77" s="432"/>
      <c r="AA77" s="432"/>
      <c r="AB77" s="432"/>
    </row>
    <row r="78" spans="1:28">
      <c r="A78" s="597" t="s">
        <v>958</v>
      </c>
      <c r="B78" s="597"/>
      <c r="C78" s="597"/>
      <c r="D78" s="597"/>
      <c r="E78" s="597"/>
      <c r="F78" s="597"/>
      <c r="G78" s="597"/>
      <c r="H78" s="597"/>
      <c r="I78" s="597"/>
      <c r="J78" s="597"/>
      <c r="K78" s="597"/>
      <c r="L78" s="597"/>
      <c r="M78" s="597"/>
      <c r="N78" s="597"/>
      <c r="O78" s="597"/>
      <c r="P78" s="39"/>
      <c r="Q78" s="555"/>
      <c r="R78" s="640" t="s">
        <v>1081</v>
      </c>
      <c r="S78" s="641"/>
      <c r="T78" s="641"/>
      <c r="U78" s="641"/>
      <c r="V78" s="641"/>
      <c r="W78" s="641"/>
      <c r="X78" s="641"/>
      <c r="Y78" s="641"/>
      <c r="Z78" s="641"/>
      <c r="AA78" s="641"/>
      <c r="AB78" s="641"/>
    </row>
    <row r="79" spans="1:28" ht="13.15" customHeight="1">
      <c r="A79" s="39"/>
      <c r="B79" s="403" t="s">
        <v>1086</v>
      </c>
      <c r="C79" s="39"/>
      <c r="D79" s="39"/>
      <c r="E79" s="39"/>
      <c r="F79" s="39"/>
      <c r="G79" s="39"/>
      <c r="H79" s="39"/>
      <c r="I79" s="39"/>
      <c r="J79" s="39"/>
      <c r="K79" s="39"/>
      <c r="L79" s="39"/>
      <c r="M79" s="39"/>
      <c r="N79" s="39"/>
      <c r="O79" s="39"/>
      <c r="P79" s="39"/>
      <c r="Q79" s="555"/>
      <c r="R79" s="642" t="s">
        <v>1097</v>
      </c>
      <c r="S79" s="604"/>
      <c r="T79" s="604"/>
      <c r="U79" s="604"/>
      <c r="V79" s="604"/>
      <c r="W79" s="604"/>
      <c r="X79" s="604"/>
      <c r="Y79" s="604"/>
      <c r="Z79" s="604"/>
      <c r="AA79" s="604"/>
      <c r="AB79" s="604"/>
    </row>
    <row r="80" spans="1:28" ht="13.15" customHeight="1">
      <c r="A80" s="39"/>
      <c r="B80" s="403" t="s">
        <v>1087</v>
      </c>
      <c r="C80" s="39"/>
      <c r="D80" s="39"/>
      <c r="E80" s="39"/>
      <c r="F80" s="39"/>
      <c r="G80" s="39"/>
      <c r="H80" s="39"/>
      <c r="I80" s="39"/>
      <c r="J80" s="39"/>
      <c r="K80" s="39"/>
      <c r="L80" s="39"/>
      <c r="M80" s="39"/>
      <c r="N80" s="39"/>
      <c r="O80" s="39"/>
      <c r="P80" s="39"/>
      <c r="Q80" s="555"/>
      <c r="R80" s="642"/>
      <c r="S80" s="604"/>
      <c r="T80" s="604"/>
      <c r="U80" s="604"/>
      <c r="V80" s="604"/>
      <c r="W80" s="604"/>
      <c r="X80" s="604"/>
      <c r="Y80" s="604"/>
      <c r="Z80" s="604"/>
      <c r="AA80" s="604"/>
      <c r="AB80" s="604"/>
    </row>
    <row r="81" spans="1:28" ht="14.25" thickBot="1">
      <c r="A81" s="39"/>
      <c r="B81" s="403" t="str">
        <f>$F$33&amp;"の特定親族（１人目）"</f>
        <v>生計維持者１の特定親族（１人目）</v>
      </c>
      <c r="C81" s="39"/>
      <c r="D81" s="39"/>
      <c r="E81" s="39"/>
      <c r="F81" s="39"/>
      <c r="G81" s="39"/>
      <c r="H81" s="39"/>
      <c r="I81" s="403" t="str">
        <f>$L$33&amp;"の特定親族（１人目）"</f>
        <v>生計維持者２の特定親族（１人目）</v>
      </c>
      <c r="J81" s="39"/>
      <c r="K81" s="39"/>
      <c r="L81" s="403"/>
      <c r="M81" s="39"/>
      <c r="N81" s="39"/>
      <c r="O81" s="39"/>
      <c r="P81" s="413"/>
      <c r="Q81" s="433"/>
      <c r="R81" s="642"/>
      <c r="S81" s="604"/>
      <c r="T81" s="604"/>
      <c r="U81" s="604"/>
      <c r="V81" s="604"/>
      <c r="W81" s="604"/>
      <c r="X81" s="604"/>
      <c r="Y81" s="604"/>
      <c r="Z81" s="604"/>
      <c r="AA81" s="604"/>
      <c r="AB81" s="604"/>
    </row>
    <row r="82" spans="1:28" ht="14.25" thickBot="1">
      <c r="A82" s="403"/>
      <c r="B82" s="637" t="s">
        <v>217</v>
      </c>
      <c r="C82" s="638"/>
      <c r="D82" s="639"/>
      <c r="E82" s="436"/>
      <c r="F82" s="437" t="s">
        <v>49</v>
      </c>
      <c r="G82" s="403"/>
      <c r="H82" s="403"/>
      <c r="I82" s="403"/>
      <c r="J82" s="403"/>
      <c r="K82" s="403"/>
      <c r="L82" s="437" t="s">
        <v>49</v>
      </c>
      <c r="M82" s="403"/>
      <c r="N82" s="39"/>
      <c r="O82" s="39"/>
      <c r="P82" s="413"/>
      <c r="Q82" s="433"/>
      <c r="R82" s="642"/>
      <c r="S82" s="604"/>
      <c r="T82" s="604"/>
      <c r="U82" s="604"/>
      <c r="V82" s="604"/>
      <c r="W82" s="604"/>
      <c r="X82" s="604"/>
      <c r="Y82" s="604"/>
      <c r="Z82" s="604"/>
      <c r="AA82" s="604"/>
      <c r="AB82" s="604"/>
    </row>
    <row r="83" spans="1:28" ht="14.25" thickBot="1">
      <c r="A83" s="403"/>
      <c r="B83" s="637" t="s">
        <v>219</v>
      </c>
      <c r="C83" s="638"/>
      <c r="D83" s="639"/>
      <c r="E83" s="438"/>
      <c r="F83" s="439">
        <v>1650000</v>
      </c>
      <c r="G83" s="403" t="str">
        <f>MID(F82,SEARCH("(",F82)+1,3)</f>
        <v>JPY</v>
      </c>
      <c r="H83" s="39"/>
      <c r="I83" s="39"/>
      <c r="J83" s="39"/>
      <c r="K83" s="39"/>
      <c r="L83" s="439">
        <v>0</v>
      </c>
      <c r="M83" s="403" t="s">
        <v>446</v>
      </c>
      <c r="N83" s="39"/>
      <c r="O83" s="39"/>
      <c r="P83" s="413"/>
      <c r="Q83" s="433"/>
      <c r="R83" s="642"/>
      <c r="S83" s="604"/>
      <c r="T83" s="604"/>
      <c r="U83" s="604"/>
      <c r="V83" s="604"/>
      <c r="W83" s="604"/>
      <c r="X83" s="604"/>
      <c r="Y83" s="604"/>
      <c r="Z83" s="604"/>
      <c r="AA83" s="604"/>
      <c r="AB83" s="604"/>
    </row>
    <row r="84" spans="1:28" ht="13.9" customHeight="1" thickBot="1">
      <c r="A84" s="403"/>
      <c r="B84" s="440" t="s">
        <v>959</v>
      </c>
      <c r="C84" s="441"/>
      <c r="D84" s="441"/>
      <c r="E84" s="442"/>
      <c r="F84" s="437" t="s">
        <v>49</v>
      </c>
      <c r="G84" s="403"/>
      <c r="H84" s="39"/>
      <c r="I84" s="39"/>
      <c r="J84" s="39"/>
      <c r="K84" s="39"/>
      <c r="L84" s="437" t="s">
        <v>49</v>
      </c>
      <c r="M84" s="443"/>
      <c r="N84" s="39"/>
      <c r="O84" s="39"/>
      <c r="P84" s="413"/>
      <c r="Q84" s="433"/>
      <c r="R84" s="642" t="s">
        <v>1082</v>
      </c>
      <c r="S84" s="604"/>
      <c r="T84" s="604"/>
      <c r="U84" s="604"/>
      <c r="V84" s="604"/>
      <c r="W84" s="604"/>
      <c r="X84" s="604"/>
      <c r="Y84" s="604"/>
      <c r="Z84" s="604"/>
      <c r="AA84" s="604"/>
      <c r="AB84" s="604"/>
    </row>
    <row r="85" spans="1:28" ht="13.9" customHeight="1" thickBot="1">
      <c r="A85" s="403"/>
      <c r="B85" s="444" t="s">
        <v>960</v>
      </c>
      <c r="C85" s="438"/>
      <c r="D85" s="445"/>
      <c r="E85" s="442"/>
      <c r="F85" s="439">
        <v>0</v>
      </c>
      <c r="G85" s="403" t="str">
        <f>MID(F84,SEARCH("(",F84)+1,3)</f>
        <v>JPY</v>
      </c>
      <c r="H85" s="39"/>
      <c r="I85" s="39"/>
      <c r="J85" s="39"/>
      <c r="K85" s="39"/>
      <c r="L85" s="439">
        <v>0</v>
      </c>
      <c r="M85" s="443" t="s">
        <v>446</v>
      </c>
      <c r="N85" s="39"/>
      <c r="O85" s="39"/>
      <c r="P85" s="413"/>
      <c r="Q85" s="433"/>
      <c r="R85" s="642" t="s">
        <v>1083</v>
      </c>
      <c r="S85" s="604"/>
      <c r="T85" s="604"/>
      <c r="U85" s="604"/>
      <c r="V85" s="604"/>
      <c r="W85" s="604"/>
      <c r="X85" s="604"/>
      <c r="Y85" s="604"/>
      <c r="Z85" s="604"/>
      <c r="AA85" s="604"/>
      <c r="AB85" s="604"/>
    </row>
    <row r="86" spans="1:28">
      <c r="A86" s="412"/>
      <c r="B86" s="413"/>
      <c r="C86" s="413"/>
      <c r="D86" s="413"/>
      <c r="E86" s="413"/>
      <c r="F86" s="413"/>
      <c r="G86" s="413"/>
      <c r="H86" s="413"/>
      <c r="I86" s="413"/>
      <c r="J86" s="413"/>
      <c r="K86" s="413"/>
      <c r="L86" s="413"/>
      <c r="M86" s="413"/>
      <c r="N86" s="413"/>
      <c r="O86" s="413"/>
      <c r="P86" s="413"/>
      <c r="Q86" s="433"/>
      <c r="R86" s="642" t="s">
        <v>1084</v>
      </c>
      <c r="S86" s="604"/>
      <c r="T86" s="604"/>
      <c r="U86" s="604"/>
      <c r="V86" s="604"/>
      <c r="W86" s="604"/>
      <c r="X86" s="604"/>
      <c r="Y86" s="604"/>
      <c r="Z86" s="604"/>
      <c r="AA86" s="604"/>
      <c r="AB86" s="604"/>
    </row>
    <row r="87" spans="1:28" ht="14.25" thickBot="1">
      <c r="A87" s="412"/>
      <c r="B87" s="412" t="str">
        <f>$F$33&amp;"の特定親族（２人目）"</f>
        <v>生計維持者１の特定親族（２人目）</v>
      </c>
      <c r="C87" s="413"/>
      <c r="D87" s="413"/>
      <c r="E87" s="413"/>
      <c r="F87" s="413"/>
      <c r="G87" s="413"/>
      <c r="H87" s="413"/>
      <c r="I87" s="412" t="str">
        <f>$L$33&amp;"の特定親族（２人目）"</f>
        <v>生計維持者２の特定親族（２人目）</v>
      </c>
      <c r="J87" s="413"/>
      <c r="K87" s="413"/>
      <c r="L87" s="412"/>
      <c r="M87" s="413"/>
      <c r="N87" s="413"/>
      <c r="O87" s="413"/>
      <c r="P87" s="413"/>
      <c r="Q87" s="433"/>
      <c r="R87" s="512"/>
      <c r="S87" s="395"/>
      <c r="T87" s="395"/>
      <c r="U87" s="395"/>
      <c r="V87" s="395"/>
      <c r="W87" s="395"/>
      <c r="X87" s="395"/>
      <c r="Y87" s="395"/>
      <c r="Z87" s="395"/>
      <c r="AA87" s="395"/>
      <c r="AB87" s="395"/>
    </row>
    <row r="88" spans="1:28" ht="14.25" thickBot="1">
      <c r="A88" s="412"/>
      <c r="B88" s="598" t="s">
        <v>217</v>
      </c>
      <c r="C88" s="599"/>
      <c r="D88" s="600"/>
      <c r="E88" s="414"/>
      <c r="F88" s="415" t="s">
        <v>49</v>
      </c>
      <c r="G88" s="412"/>
      <c r="H88" s="412"/>
      <c r="I88" s="412"/>
      <c r="J88" s="412"/>
      <c r="K88" s="412"/>
      <c r="L88" s="415" t="s">
        <v>49</v>
      </c>
      <c r="M88" s="412"/>
      <c r="N88" s="413"/>
      <c r="O88" s="413"/>
      <c r="P88" s="413"/>
      <c r="Q88" s="433"/>
      <c r="R88" s="435"/>
      <c r="S88" s="435"/>
      <c r="T88" s="435"/>
      <c r="U88" s="435"/>
      <c r="V88" s="435"/>
      <c r="W88" s="435"/>
      <c r="X88" s="435"/>
      <c r="Y88" s="435"/>
      <c r="Z88" s="435"/>
      <c r="AA88" s="435"/>
      <c r="AB88" s="435"/>
    </row>
    <row r="89" spans="1:28" ht="14.25" thickBot="1">
      <c r="A89" s="412"/>
      <c r="B89" s="598" t="s">
        <v>219</v>
      </c>
      <c r="C89" s="599"/>
      <c r="D89" s="600"/>
      <c r="E89" s="416"/>
      <c r="F89" s="417">
        <v>0</v>
      </c>
      <c r="G89" s="412" t="str">
        <f>MID(F88,SEARCH("(",F88)+1,3)</f>
        <v>JPY</v>
      </c>
      <c r="H89" s="413"/>
      <c r="I89" s="413"/>
      <c r="J89" s="413"/>
      <c r="K89" s="413"/>
      <c r="L89" s="417">
        <v>0</v>
      </c>
      <c r="M89" s="412" t="str">
        <f>MID(L88,SEARCH("(",L88)+1,3)</f>
        <v>JPY</v>
      </c>
      <c r="N89" s="413"/>
      <c r="O89" s="413"/>
      <c r="P89" s="413"/>
      <c r="Q89" s="433"/>
      <c r="R89" s="435"/>
      <c r="S89" s="435"/>
      <c r="T89" s="435"/>
      <c r="U89" s="435"/>
      <c r="V89" s="435"/>
      <c r="W89" s="435"/>
      <c r="X89" s="435"/>
      <c r="Y89" s="435"/>
      <c r="Z89" s="435"/>
      <c r="AA89" s="435"/>
      <c r="AB89" s="435"/>
    </row>
    <row r="90" spans="1:28" ht="14.25" thickBot="1">
      <c r="A90" s="412"/>
      <c r="B90" s="418" t="s">
        <v>959</v>
      </c>
      <c r="C90" s="419"/>
      <c r="D90" s="419"/>
      <c r="E90" s="420"/>
      <c r="F90" s="415" t="s">
        <v>49</v>
      </c>
      <c r="G90" s="412"/>
      <c r="H90" s="413"/>
      <c r="I90" s="413"/>
      <c r="J90" s="413"/>
      <c r="K90" s="413"/>
      <c r="L90" s="415" t="s">
        <v>49</v>
      </c>
      <c r="M90" s="421"/>
      <c r="N90" s="413"/>
      <c r="O90" s="413"/>
      <c r="P90" s="413"/>
      <c r="Q90" s="433"/>
      <c r="R90" s="435"/>
      <c r="S90" s="435"/>
      <c r="T90" s="435"/>
      <c r="U90" s="435"/>
      <c r="V90" s="435"/>
      <c r="W90" s="435"/>
      <c r="X90" s="435"/>
      <c r="Y90" s="435"/>
      <c r="Z90" s="435"/>
      <c r="AA90" s="435"/>
      <c r="AB90" s="435"/>
    </row>
    <row r="91" spans="1:28" ht="14.25" thickBot="1">
      <c r="A91" s="412"/>
      <c r="B91" s="422" t="s">
        <v>960</v>
      </c>
      <c r="C91" s="416"/>
      <c r="D91" s="423"/>
      <c r="E91" s="420"/>
      <c r="F91" s="417">
        <v>0</v>
      </c>
      <c r="G91" s="412" t="str">
        <f>MID(F90,SEARCH("(",F90)+1,3)</f>
        <v>JPY</v>
      </c>
      <c r="H91" s="413"/>
      <c r="I91" s="413"/>
      <c r="J91" s="413"/>
      <c r="K91" s="413"/>
      <c r="L91" s="417">
        <v>0</v>
      </c>
      <c r="M91" s="412" t="str">
        <f>MID(L90,SEARCH("(",L90)+1,3)</f>
        <v>JPY</v>
      </c>
      <c r="N91" s="413"/>
      <c r="O91" s="413"/>
      <c r="P91" s="413"/>
      <c r="Q91" s="433"/>
      <c r="R91" s="435"/>
      <c r="S91" s="435"/>
      <c r="T91" s="435"/>
      <c r="U91" s="435"/>
      <c r="V91" s="435"/>
      <c r="W91" s="435"/>
      <c r="X91" s="435"/>
      <c r="Y91" s="435"/>
      <c r="Z91" s="435"/>
      <c r="AA91" s="435"/>
      <c r="AB91" s="435"/>
    </row>
    <row r="92" spans="1:28">
      <c r="A92" s="412"/>
      <c r="B92" s="413"/>
      <c r="C92" s="413"/>
      <c r="D92" s="413"/>
      <c r="E92" s="413"/>
      <c r="F92" s="413"/>
      <c r="G92" s="413"/>
      <c r="H92" s="413"/>
      <c r="I92" s="413"/>
      <c r="J92" s="413"/>
      <c r="K92" s="413"/>
      <c r="L92" s="413"/>
      <c r="M92" s="413"/>
      <c r="N92" s="413"/>
      <c r="O92" s="413"/>
      <c r="P92" s="413"/>
      <c r="Q92" s="433"/>
      <c r="R92" s="435"/>
      <c r="S92" s="435"/>
      <c r="T92" s="435"/>
      <c r="U92" s="435"/>
      <c r="V92" s="435"/>
      <c r="W92" s="435"/>
      <c r="X92" s="435"/>
      <c r="Y92" s="435"/>
      <c r="Z92" s="435"/>
      <c r="AA92" s="435"/>
      <c r="AB92" s="435"/>
    </row>
    <row r="93" spans="1:28" ht="14.25" thickBot="1">
      <c r="A93" s="412"/>
      <c r="B93" s="412" t="str">
        <f>$F$33&amp;"の特定親族（３人目）"</f>
        <v>生計維持者１の特定親族（３人目）</v>
      </c>
      <c r="C93" s="413"/>
      <c r="D93" s="413"/>
      <c r="E93" s="413"/>
      <c r="F93" s="413"/>
      <c r="G93" s="413"/>
      <c r="H93" s="413"/>
      <c r="I93" s="412" t="str">
        <f>$L$33&amp;"の特定親族（３人目）"</f>
        <v>生計維持者２の特定親族（３人目）</v>
      </c>
      <c r="J93" s="413"/>
      <c r="K93" s="413"/>
      <c r="L93" s="412"/>
      <c r="M93" s="413"/>
      <c r="N93" s="413"/>
      <c r="O93" s="413"/>
      <c r="P93" s="413"/>
      <c r="Q93" s="433"/>
      <c r="R93" s="435"/>
      <c r="S93" s="435"/>
      <c r="T93" s="435"/>
      <c r="U93" s="435"/>
      <c r="V93" s="435"/>
      <c r="W93" s="435"/>
      <c r="X93" s="435"/>
      <c r="Y93" s="435"/>
      <c r="Z93" s="435"/>
      <c r="AA93" s="435"/>
      <c r="AB93" s="435"/>
    </row>
    <row r="94" spans="1:28" ht="14.25" thickBot="1">
      <c r="A94" s="412"/>
      <c r="B94" s="598" t="s">
        <v>217</v>
      </c>
      <c r="C94" s="599"/>
      <c r="D94" s="600"/>
      <c r="E94" s="414"/>
      <c r="F94" s="415" t="s">
        <v>49</v>
      </c>
      <c r="G94" s="412"/>
      <c r="H94" s="412"/>
      <c r="I94" s="412"/>
      <c r="J94" s="412"/>
      <c r="K94" s="412"/>
      <c r="L94" s="415" t="s">
        <v>49</v>
      </c>
      <c r="M94" s="412"/>
      <c r="N94" s="413"/>
      <c r="O94" s="413"/>
      <c r="P94" s="413"/>
      <c r="Q94" s="433"/>
      <c r="R94" s="435"/>
      <c r="S94" s="435"/>
      <c r="T94" s="435"/>
      <c r="U94" s="435"/>
      <c r="V94" s="435"/>
      <c r="W94" s="435"/>
      <c r="X94" s="435"/>
      <c r="Y94" s="435"/>
      <c r="Z94" s="435"/>
      <c r="AA94" s="435"/>
      <c r="AB94" s="435"/>
    </row>
    <row r="95" spans="1:28" ht="14.25" thickBot="1">
      <c r="A95" s="412"/>
      <c r="B95" s="598" t="s">
        <v>219</v>
      </c>
      <c r="C95" s="599"/>
      <c r="D95" s="600"/>
      <c r="E95" s="416"/>
      <c r="F95" s="417">
        <v>0</v>
      </c>
      <c r="G95" s="412" t="str">
        <f>MID(F94,SEARCH("(",F94)+1,3)</f>
        <v>JPY</v>
      </c>
      <c r="H95" s="413"/>
      <c r="I95" s="413"/>
      <c r="J95" s="413"/>
      <c r="K95" s="413"/>
      <c r="L95" s="417">
        <v>0</v>
      </c>
      <c r="M95" s="412" t="str">
        <f>MID(L94,SEARCH("(",L94)+1,3)</f>
        <v>JPY</v>
      </c>
      <c r="N95" s="413"/>
      <c r="O95" s="413"/>
      <c r="P95" s="413"/>
      <c r="Q95" s="433"/>
      <c r="R95" s="435"/>
      <c r="S95" s="435"/>
      <c r="T95" s="435"/>
      <c r="U95" s="435"/>
      <c r="V95" s="435"/>
      <c r="W95" s="435"/>
      <c r="X95" s="435"/>
      <c r="Y95" s="435"/>
      <c r="Z95" s="435"/>
      <c r="AA95" s="435"/>
      <c r="AB95" s="435"/>
    </row>
    <row r="96" spans="1:28" ht="14.25" thickBot="1">
      <c r="A96" s="412"/>
      <c r="B96" s="418" t="s">
        <v>959</v>
      </c>
      <c r="C96" s="419"/>
      <c r="D96" s="419"/>
      <c r="E96" s="420"/>
      <c r="F96" s="415" t="s">
        <v>49</v>
      </c>
      <c r="G96" s="412"/>
      <c r="H96" s="413"/>
      <c r="I96" s="413"/>
      <c r="J96" s="413"/>
      <c r="K96" s="413"/>
      <c r="L96" s="415" t="s">
        <v>49</v>
      </c>
      <c r="M96" s="421"/>
      <c r="N96" s="413"/>
      <c r="O96" s="413"/>
      <c r="P96" s="413"/>
      <c r="Q96" s="433"/>
      <c r="R96" s="435"/>
      <c r="S96" s="435"/>
      <c r="T96" s="435"/>
      <c r="U96" s="435"/>
      <c r="V96" s="435"/>
      <c r="W96" s="435"/>
      <c r="X96" s="435"/>
      <c r="Y96" s="435"/>
      <c r="Z96" s="435"/>
      <c r="AA96" s="435"/>
      <c r="AB96" s="435"/>
    </row>
    <row r="97" spans="1:28" ht="14.25" thickBot="1">
      <c r="A97" s="412"/>
      <c r="B97" s="422" t="s">
        <v>960</v>
      </c>
      <c r="C97" s="416"/>
      <c r="D97" s="423"/>
      <c r="E97" s="420"/>
      <c r="F97" s="417">
        <v>0</v>
      </c>
      <c r="G97" s="412" t="str">
        <f>MID(F96,SEARCH("(",F96)+1,3)</f>
        <v>JPY</v>
      </c>
      <c r="H97" s="413"/>
      <c r="I97" s="413"/>
      <c r="J97" s="413"/>
      <c r="K97" s="413"/>
      <c r="L97" s="417">
        <v>0</v>
      </c>
      <c r="M97" s="412" t="str">
        <f>MID(L96,SEARCH("(",L96)+1,3)</f>
        <v>JPY</v>
      </c>
      <c r="N97" s="413"/>
      <c r="O97" s="413"/>
      <c r="P97" s="413"/>
      <c r="Q97" s="433"/>
      <c r="R97" s="435"/>
      <c r="S97" s="435"/>
      <c r="T97" s="435"/>
      <c r="U97" s="435"/>
      <c r="V97" s="435"/>
      <c r="W97" s="435"/>
      <c r="X97" s="435"/>
      <c r="Y97" s="435"/>
      <c r="Z97" s="435"/>
      <c r="AA97" s="435"/>
      <c r="AB97" s="435"/>
    </row>
    <row r="98" spans="1:28">
      <c r="A98" s="412"/>
      <c r="B98" s="413"/>
      <c r="C98" s="413"/>
      <c r="D98" s="413"/>
      <c r="E98" s="413"/>
      <c r="F98" s="413"/>
      <c r="G98" s="413"/>
      <c r="H98" s="413"/>
      <c r="I98" s="413"/>
      <c r="J98" s="413"/>
      <c r="K98" s="413"/>
      <c r="L98" s="413"/>
      <c r="M98" s="413"/>
      <c r="N98" s="413"/>
      <c r="O98" s="413"/>
      <c r="P98" s="413"/>
      <c r="Q98" s="433"/>
      <c r="R98" s="435"/>
      <c r="S98" s="435"/>
      <c r="T98" s="435"/>
      <c r="U98" s="435"/>
      <c r="V98" s="435"/>
      <c r="W98" s="435"/>
      <c r="X98" s="435"/>
      <c r="Y98" s="435"/>
      <c r="Z98" s="435"/>
      <c r="AA98" s="435"/>
      <c r="AB98" s="435"/>
    </row>
    <row r="99" spans="1:28" ht="14.25" thickBot="1">
      <c r="A99" s="412"/>
      <c r="B99" s="412" t="str">
        <f>$F$33&amp;"の特定親族（４人目）"</f>
        <v>生計維持者１の特定親族（４人目）</v>
      </c>
      <c r="C99" s="413"/>
      <c r="D99" s="413"/>
      <c r="E99" s="413"/>
      <c r="F99" s="413"/>
      <c r="G99" s="413"/>
      <c r="H99" s="413"/>
      <c r="I99" s="412" t="str">
        <f>$L$33&amp;"の特定親族（４人目）"</f>
        <v>生計維持者２の特定親族（４人目）</v>
      </c>
      <c r="J99" s="413"/>
      <c r="K99" s="413"/>
      <c r="L99" s="412"/>
      <c r="M99" s="413"/>
      <c r="N99" s="413"/>
      <c r="O99" s="413"/>
      <c r="P99" s="413"/>
      <c r="Q99" s="433"/>
      <c r="R99" s="435"/>
      <c r="S99" s="435"/>
      <c r="T99" s="435"/>
      <c r="U99" s="435"/>
      <c r="V99" s="435"/>
      <c r="W99" s="435"/>
      <c r="X99" s="435"/>
      <c r="Y99" s="435"/>
      <c r="Z99" s="435"/>
      <c r="AA99" s="435"/>
      <c r="AB99" s="435"/>
    </row>
    <row r="100" spans="1:28" ht="14.25" thickBot="1">
      <c r="A100" s="412"/>
      <c r="B100" s="598" t="s">
        <v>217</v>
      </c>
      <c r="C100" s="599"/>
      <c r="D100" s="600"/>
      <c r="E100" s="414"/>
      <c r="F100" s="415" t="s">
        <v>49</v>
      </c>
      <c r="G100" s="412"/>
      <c r="H100" s="412"/>
      <c r="I100" s="412"/>
      <c r="J100" s="412"/>
      <c r="K100" s="412"/>
      <c r="L100" s="415" t="s">
        <v>49</v>
      </c>
      <c r="M100" s="412"/>
      <c r="N100" s="413"/>
      <c r="O100" s="413"/>
      <c r="P100" s="413"/>
      <c r="Q100" s="433"/>
      <c r="R100" s="435"/>
      <c r="S100" s="435"/>
      <c r="T100" s="435"/>
      <c r="U100" s="435"/>
      <c r="V100" s="435"/>
      <c r="W100" s="435"/>
      <c r="X100" s="435"/>
      <c r="Y100" s="435"/>
      <c r="Z100" s="435"/>
      <c r="AA100" s="435"/>
      <c r="AB100" s="435"/>
    </row>
    <row r="101" spans="1:28" ht="14.25" thickBot="1">
      <c r="A101" s="412"/>
      <c r="B101" s="598" t="s">
        <v>219</v>
      </c>
      <c r="C101" s="599"/>
      <c r="D101" s="600"/>
      <c r="E101" s="416"/>
      <c r="F101" s="417">
        <v>0</v>
      </c>
      <c r="G101" s="412" t="str">
        <f>MID(F100,SEARCH("(",F100)+1,3)</f>
        <v>JPY</v>
      </c>
      <c r="H101" s="413"/>
      <c r="I101" s="413"/>
      <c r="J101" s="413"/>
      <c r="K101" s="413"/>
      <c r="L101" s="417">
        <v>0</v>
      </c>
      <c r="M101" s="412" t="str">
        <f>MID(L100,SEARCH("(",L100)+1,3)</f>
        <v>JPY</v>
      </c>
      <c r="N101" s="413"/>
      <c r="O101" s="413"/>
      <c r="P101" s="413"/>
      <c r="Q101" s="433"/>
      <c r="R101" s="435"/>
      <c r="S101" s="435"/>
      <c r="T101" s="435"/>
      <c r="U101" s="435"/>
      <c r="V101" s="435"/>
      <c r="W101" s="435"/>
      <c r="X101" s="435"/>
      <c r="Y101" s="435"/>
      <c r="Z101" s="435"/>
      <c r="AA101" s="435"/>
      <c r="AB101" s="435"/>
    </row>
    <row r="102" spans="1:28" ht="14.25" thickBot="1">
      <c r="A102" s="412"/>
      <c r="B102" s="418" t="s">
        <v>959</v>
      </c>
      <c r="C102" s="419"/>
      <c r="D102" s="419"/>
      <c r="E102" s="420"/>
      <c r="F102" s="415" t="s">
        <v>49</v>
      </c>
      <c r="G102" s="412"/>
      <c r="H102" s="413"/>
      <c r="I102" s="413"/>
      <c r="J102" s="413"/>
      <c r="K102" s="413"/>
      <c r="L102" s="415" t="s">
        <v>49</v>
      </c>
      <c r="M102" s="421"/>
      <c r="N102" s="413"/>
      <c r="O102" s="413"/>
      <c r="P102" s="413"/>
      <c r="Q102" s="433"/>
      <c r="R102" s="435"/>
      <c r="S102" s="435"/>
      <c r="T102" s="435"/>
      <c r="U102" s="435"/>
      <c r="V102" s="435"/>
      <c r="W102" s="435"/>
      <c r="X102" s="435"/>
      <c r="Y102" s="435"/>
      <c r="Z102" s="435"/>
      <c r="AA102" s="435"/>
      <c r="AB102" s="435"/>
    </row>
    <row r="103" spans="1:28" ht="14.25" thickBot="1">
      <c r="A103" s="412"/>
      <c r="B103" s="422" t="s">
        <v>960</v>
      </c>
      <c r="C103" s="416"/>
      <c r="D103" s="423"/>
      <c r="E103" s="420"/>
      <c r="F103" s="417">
        <v>0</v>
      </c>
      <c r="G103" s="412" t="str">
        <f>MID(F102,SEARCH("(",F102)+1,3)</f>
        <v>JPY</v>
      </c>
      <c r="H103" s="413"/>
      <c r="I103" s="413"/>
      <c r="J103" s="413"/>
      <c r="K103" s="413"/>
      <c r="L103" s="417">
        <v>0</v>
      </c>
      <c r="M103" s="412" t="str">
        <f>MID(L102,SEARCH("(",L102)+1,3)</f>
        <v>JPY</v>
      </c>
      <c r="N103" s="413"/>
      <c r="O103" s="413"/>
      <c r="P103" s="413"/>
      <c r="Q103" s="433"/>
      <c r="R103" s="435"/>
      <c r="S103" s="435"/>
      <c r="T103" s="435"/>
      <c r="U103" s="435"/>
      <c r="V103" s="435"/>
      <c r="W103" s="435"/>
      <c r="X103" s="435"/>
      <c r="Y103" s="435"/>
      <c r="Z103" s="435"/>
      <c r="AA103" s="435"/>
      <c r="AB103" s="435"/>
    </row>
    <row r="104" spans="1:28">
      <c r="A104" s="412"/>
      <c r="B104" s="413"/>
      <c r="C104" s="413"/>
      <c r="D104" s="413"/>
      <c r="E104" s="413"/>
      <c r="F104" s="413"/>
      <c r="G104" s="413"/>
      <c r="H104" s="413"/>
      <c r="I104" s="413"/>
      <c r="J104" s="413"/>
      <c r="K104" s="413"/>
      <c r="L104" s="413"/>
      <c r="M104" s="413"/>
      <c r="N104" s="413"/>
      <c r="O104" s="413"/>
      <c r="P104" s="413"/>
      <c r="Q104" s="433"/>
      <c r="R104" s="435"/>
      <c r="S104" s="435"/>
      <c r="T104" s="435"/>
      <c r="U104" s="435"/>
      <c r="V104" s="435"/>
      <c r="W104" s="435"/>
      <c r="X104" s="435"/>
      <c r="Y104" s="435"/>
      <c r="Z104" s="435"/>
      <c r="AA104" s="435"/>
      <c r="AB104" s="435"/>
    </row>
    <row r="105" spans="1:28" ht="14.25" thickBot="1">
      <c r="A105" s="412"/>
      <c r="B105" s="412" t="str">
        <f>$F$33&amp;"の特定親族（５人目）"</f>
        <v>生計維持者１の特定親族（５人目）</v>
      </c>
      <c r="C105" s="413"/>
      <c r="D105" s="413"/>
      <c r="E105" s="413"/>
      <c r="F105" s="413"/>
      <c r="G105" s="413"/>
      <c r="H105" s="413"/>
      <c r="I105" s="412" t="str">
        <f>$L$33&amp;"の特定親族（５人目）"</f>
        <v>生計維持者２の特定親族（５人目）</v>
      </c>
      <c r="J105" s="413"/>
      <c r="K105" s="413"/>
      <c r="L105" s="412"/>
      <c r="M105" s="413"/>
      <c r="N105" s="413"/>
      <c r="O105" s="413"/>
      <c r="P105" s="413"/>
      <c r="Q105" s="433"/>
      <c r="R105" s="435"/>
      <c r="S105" s="435"/>
      <c r="T105" s="435"/>
      <c r="U105" s="435"/>
      <c r="V105" s="435"/>
      <c r="W105" s="435"/>
      <c r="X105" s="435"/>
      <c r="Y105" s="435"/>
      <c r="Z105" s="435"/>
      <c r="AA105" s="435"/>
      <c r="AB105" s="435"/>
    </row>
    <row r="106" spans="1:28" ht="14.25" thickBot="1">
      <c r="A106" s="412"/>
      <c r="B106" s="598" t="s">
        <v>217</v>
      </c>
      <c r="C106" s="599"/>
      <c r="D106" s="600"/>
      <c r="E106" s="414"/>
      <c r="F106" s="415" t="s">
        <v>49</v>
      </c>
      <c r="G106" s="412"/>
      <c r="H106" s="412"/>
      <c r="I106" s="412"/>
      <c r="J106" s="412"/>
      <c r="K106" s="412"/>
      <c r="L106" s="415" t="s">
        <v>49</v>
      </c>
      <c r="M106" s="412"/>
      <c r="N106" s="413"/>
      <c r="O106" s="413"/>
      <c r="P106" s="413"/>
      <c r="Q106" s="433"/>
      <c r="R106" s="435"/>
      <c r="S106" s="435"/>
      <c r="T106" s="435"/>
      <c r="U106" s="435"/>
      <c r="V106" s="435"/>
      <c r="W106" s="435"/>
      <c r="X106" s="435"/>
      <c r="Y106" s="435"/>
      <c r="Z106" s="435"/>
      <c r="AA106" s="435"/>
      <c r="AB106" s="435"/>
    </row>
    <row r="107" spans="1:28" ht="14.25" thickBot="1">
      <c r="A107" s="412"/>
      <c r="B107" s="598" t="s">
        <v>219</v>
      </c>
      <c r="C107" s="599"/>
      <c r="D107" s="600"/>
      <c r="E107" s="416"/>
      <c r="F107" s="417">
        <v>0</v>
      </c>
      <c r="G107" s="412" t="str">
        <f>MID(F106,SEARCH("(",F106)+1,3)</f>
        <v>JPY</v>
      </c>
      <c r="H107" s="413"/>
      <c r="I107" s="413"/>
      <c r="J107" s="413"/>
      <c r="K107" s="413"/>
      <c r="L107" s="417">
        <v>0</v>
      </c>
      <c r="M107" s="412" t="str">
        <f>MID(L106,SEARCH("(",L106)+1,3)</f>
        <v>JPY</v>
      </c>
      <c r="N107" s="413"/>
      <c r="O107" s="413"/>
      <c r="P107" s="413"/>
      <c r="Q107" s="433"/>
      <c r="R107" s="435"/>
      <c r="S107" s="435"/>
      <c r="T107" s="435"/>
      <c r="U107" s="435"/>
      <c r="V107" s="435"/>
      <c r="W107" s="435"/>
      <c r="X107" s="435"/>
      <c r="Y107" s="435"/>
      <c r="Z107" s="435"/>
      <c r="AA107" s="435"/>
      <c r="AB107" s="435"/>
    </row>
    <row r="108" spans="1:28" ht="14.25" thickBot="1">
      <c r="A108" s="412"/>
      <c r="B108" s="418" t="s">
        <v>959</v>
      </c>
      <c r="C108" s="419"/>
      <c r="D108" s="419"/>
      <c r="E108" s="420"/>
      <c r="F108" s="415" t="s">
        <v>49</v>
      </c>
      <c r="G108" s="412"/>
      <c r="H108" s="413"/>
      <c r="I108" s="413"/>
      <c r="J108" s="413"/>
      <c r="K108" s="413"/>
      <c r="L108" s="415" t="s">
        <v>49</v>
      </c>
      <c r="M108" s="421"/>
      <c r="N108" s="413"/>
      <c r="O108" s="413"/>
      <c r="P108" s="413"/>
      <c r="Q108" s="433"/>
      <c r="R108" s="435"/>
      <c r="S108" s="435"/>
      <c r="T108" s="435"/>
      <c r="U108" s="435"/>
      <c r="V108" s="435"/>
      <c r="W108" s="435"/>
      <c r="X108" s="435"/>
      <c r="Y108" s="435"/>
      <c r="Z108" s="435"/>
      <c r="AA108" s="435"/>
      <c r="AB108" s="435"/>
    </row>
    <row r="109" spans="1:28" ht="14.25" thickBot="1">
      <c r="A109" s="412"/>
      <c r="B109" s="422" t="s">
        <v>960</v>
      </c>
      <c r="C109" s="416"/>
      <c r="D109" s="423"/>
      <c r="E109" s="420"/>
      <c r="F109" s="417">
        <v>0</v>
      </c>
      <c r="G109" s="412" t="str">
        <f>MID(F108,SEARCH("(",F108)+1,3)</f>
        <v>JPY</v>
      </c>
      <c r="H109" s="413"/>
      <c r="I109" s="413"/>
      <c r="J109" s="413"/>
      <c r="K109" s="413"/>
      <c r="L109" s="417">
        <v>0</v>
      </c>
      <c r="M109" s="412" t="str">
        <f>MID(L108,SEARCH("(",L108)+1,3)</f>
        <v>JPY</v>
      </c>
      <c r="N109" s="413"/>
      <c r="O109" s="413"/>
      <c r="P109" s="413"/>
      <c r="Q109" s="433"/>
      <c r="R109" s="435"/>
      <c r="S109" s="435"/>
      <c r="T109" s="435"/>
      <c r="U109" s="435"/>
      <c r="V109" s="435"/>
      <c r="W109" s="435"/>
      <c r="X109" s="435"/>
      <c r="Y109" s="435"/>
      <c r="Z109" s="435"/>
      <c r="AA109" s="435"/>
      <c r="AB109" s="435"/>
    </row>
    <row r="110" spans="1:28">
      <c r="A110" s="412"/>
      <c r="B110" s="413"/>
      <c r="C110" s="413"/>
      <c r="D110" s="413"/>
      <c r="E110" s="413"/>
      <c r="F110" s="413"/>
      <c r="G110" s="413"/>
      <c r="H110" s="413"/>
      <c r="I110" s="413"/>
      <c r="J110" s="413"/>
      <c r="K110" s="413"/>
      <c r="L110" s="413"/>
      <c r="M110" s="413"/>
      <c r="N110" s="413"/>
      <c r="O110" s="413"/>
      <c r="P110" s="413"/>
      <c r="Q110" s="433"/>
      <c r="R110" s="435"/>
      <c r="S110" s="435"/>
      <c r="T110" s="435"/>
      <c r="U110" s="435"/>
      <c r="V110" s="435"/>
      <c r="W110" s="435"/>
      <c r="X110" s="435"/>
      <c r="Y110" s="435"/>
      <c r="Z110" s="435"/>
      <c r="AA110" s="435"/>
      <c r="AB110" s="435"/>
    </row>
    <row r="111" spans="1:28" ht="14.25" thickBot="1">
      <c r="A111" s="412"/>
      <c r="B111" s="412" t="str">
        <f>$F$33&amp;"の特定親族（６人目）"</f>
        <v>生計維持者１の特定親族（６人目）</v>
      </c>
      <c r="C111" s="413"/>
      <c r="D111" s="413"/>
      <c r="E111" s="413"/>
      <c r="F111" s="413"/>
      <c r="G111" s="413"/>
      <c r="H111" s="413"/>
      <c r="I111" s="412" t="str">
        <f>$L$33&amp;"の特定親族（６人目）"</f>
        <v>生計維持者２の特定親族（６人目）</v>
      </c>
      <c r="J111" s="413"/>
      <c r="K111" s="413"/>
      <c r="L111" s="412"/>
      <c r="M111" s="413"/>
      <c r="N111" s="413"/>
      <c r="O111" s="413"/>
      <c r="P111" s="413"/>
      <c r="Q111" s="433"/>
      <c r="R111" s="435"/>
      <c r="S111" s="435"/>
      <c r="T111" s="435"/>
      <c r="U111" s="435"/>
      <c r="V111" s="435"/>
      <c r="W111" s="435"/>
      <c r="X111" s="435"/>
      <c r="Y111" s="435"/>
      <c r="Z111" s="435"/>
      <c r="AA111" s="435"/>
      <c r="AB111" s="435"/>
    </row>
    <row r="112" spans="1:28" ht="14.25" thickBot="1">
      <c r="A112" s="412"/>
      <c r="B112" s="598" t="s">
        <v>217</v>
      </c>
      <c r="C112" s="599"/>
      <c r="D112" s="600"/>
      <c r="E112" s="414"/>
      <c r="F112" s="415" t="s">
        <v>49</v>
      </c>
      <c r="G112" s="412"/>
      <c r="H112" s="412"/>
      <c r="I112" s="412"/>
      <c r="J112" s="412"/>
      <c r="K112" s="412"/>
      <c r="L112" s="415" t="s">
        <v>49</v>
      </c>
      <c r="M112" s="412"/>
      <c r="N112" s="413"/>
      <c r="O112" s="413"/>
      <c r="P112" s="413"/>
      <c r="Q112" s="433"/>
      <c r="R112" s="435"/>
      <c r="S112" s="435"/>
      <c r="T112" s="435"/>
      <c r="U112" s="435"/>
      <c r="V112" s="435"/>
      <c r="W112" s="435"/>
      <c r="X112" s="435"/>
      <c r="Y112" s="435"/>
      <c r="Z112" s="435"/>
      <c r="AA112" s="435"/>
      <c r="AB112" s="435"/>
    </row>
    <row r="113" spans="1:28" ht="14.25" thickBot="1">
      <c r="A113" s="412"/>
      <c r="B113" s="598" t="s">
        <v>219</v>
      </c>
      <c r="C113" s="599"/>
      <c r="D113" s="600"/>
      <c r="E113" s="416"/>
      <c r="F113" s="417">
        <v>0</v>
      </c>
      <c r="G113" s="412" t="str">
        <f>MID(F112,SEARCH("(",F112)+1,3)</f>
        <v>JPY</v>
      </c>
      <c r="H113" s="413"/>
      <c r="I113" s="413"/>
      <c r="J113" s="413"/>
      <c r="K113" s="413"/>
      <c r="L113" s="417">
        <v>0</v>
      </c>
      <c r="M113" s="412" t="str">
        <f>MID(L112,SEARCH("(",L112)+1,3)</f>
        <v>JPY</v>
      </c>
      <c r="N113" s="413"/>
      <c r="O113" s="413"/>
      <c r="P113" s="413"/>
      <c r="Q113" s="433"/>
      <c r="R113" s="435"/>
      <c r="S113" s="435"/>
      <c r="T113" s="435"/>
      <c r="U113" s="435"/>
      <c r="V113" s="435"/>
      <c r="W113" s="435"/>
      <c r="X113" s="435"/>
      <c r="Y113" s="435"/>
      <c r="Z113" s="435"/>
      <c r="AA113" s="435"/>
      <c r="AB113" s="435"/>
    </row>
    <row r="114" spans="1:28" ht="14.25" thickBot="1">
      <c r="A114" s="412"/>
      <c r="B114" s="418" t="s">
        <v>959</v>
      </c>
      <c r="C114" s="419"/>
      <c r="D114" s="419"/>
      <c r="E114" s="420"/>
      <c r="F114" s="415" t="s">
        <v>49</v>
      </c>
      <c r="G114" s="412"/>
      <c r="H114" s="413"/>
      <c r="I114" s="413"/>
      <c r="J114" s="413"/>
      <c r="K114" s="413"/>
      <c r="L114" s="415" t="s">
        <v>49</v>
      </c>
      <c r="M114" s="421"/>
      <c r="N114" s="413"/>
      <c r="O114" s="413"/>
      <c r="P114" s="413"/>
      <c r="Q114" s="433"/>
      <c r="R114" s="435"/>
      <c r="S114" s="435"/>
      <c r="T114" s="435"/>
      <c r="U114" s="435"/>
      <c r="V114" s="435"/>
      <c r="W114" s="435"/>
      <c r="X114" s="435"/>
      <c r="Y114" s="435"/>
      <c r="Z114" s="435"/>
      <c r="AA114" s="435"/>
      <c r="AB114" s="435"/>
    </row>
    <row r="115" spans="1:28" ht="14.25" thickBot="1">
      <c r="A115" s="412"/>
      <c r="B115" s="422" t="s">
        <v>960</v>
      </c>
      <c r="C115" s="416"/>
      <c r="D115" s="423"/>
      <c r="E115" s="420"/>
      <c r="F115" s="417">
        <v>0</v>
      </c>
      <c r="G115" s="412" t="str">
        <f>MID(F114,SEARCH("(",F114)+1,3)</f>
        <v>JPY</v>
      </c>
      <c r="H115" s="413"/>
      <c r="I115" s="413"/>
      <c r="J115" s="413"/>
      <c r="K115" s="413"/>
      <c r="L115" s="417">
        <v>0</v>
      </c>
      <c r="M115" s="412" t="str">
        <f>MID(L114,SEARCH("(",L114)+1,3)</f>
        <v>JPY</v>
      </c>
      <c r="N115" s="413"/>
      <c r="O115" s="413"/>
      <c r="P115" s="413"/>
      <c r="Q115" s="433"/>
      <c r="R115" s="435"/>
      <c r="S115" s="435"/>
      <c r="T115" s="435"/>
      <c r="U115" s="435"/>
      <c r="V115" s="435"/>
      <c r="W115" s="435"/>
      <c r="X115" s="435"/>
      <c r="Y115" s="435"/>
      <c r="Z115" s="435"/>
      <c r="AA115" s="435"/>
      <c r="AB115" s="435"/>
    </row>
    <row r="116" spans="1:28">
      <c r="A116" s="412"/>
      <c r="B116" s="413"/>
      <c r="C116" s="413"/>
      <c r="D116" s="413"/>
      <c r="E116" s="413"/>
      <c r="F116" s="413"/>
      <c r="G116" s="413"/>
      <c r="H116" s="413"/>
      <c r="I116" s="413"/>
      <c r="J116" s="413"/>
      <c r="K116" s="413"/>
      <c r="L116" s="413"/>
      <c r="M116" s="413"/>
      <c r="N116" s="413"/>
      <c r="O116" s="413"/>
      <c r="P116" s="413"/>
      <c r="Q116" s="433"/>
      <c r="R116" s="435"/>
      <c r="S116" s="435"/>
      <c r="T116" s="435"/>
      <c r="U116" s="435"/>
      <c r="V116" s="435"/>
      <c r="W116" s="435"/>
      <c r="X116" s="435"/>
      <c r="Y116" s="435"/>
      <c r="Z116" s="435"/>
      <c r="AA116" s="435"/>
      <c r="AB116" s="435"/>
    </row>
    <row r="117" spans="1:28" ht="14.25" thickBot="1">
      <c r="A117" s="412"/>
      <c r="B117" s="412" t="str">
        <f>$F$33&amp;"の特定親族（７人目）"</f>
        <v>生計維持者１の特定親族（７人目）</v>
      </c>
      <c r="C117" s="413"/>
      <c r="D117" s="413"/>
      <c r="E117" s="413"/>
      <c r="F117" s="413"/>
      <c r="G117" s="413"/>
      <c r="H117" s="413"/>
      <c r="I117" s="412" t="str">
        <f>$L$33&amp;"の特定親族（７人目）"</f>
        <v>生計維持者２の特定親族（７人目）</v>
      </c>
      <c r="J117" s="413"/>
      <c r="K117" s="413"/>
      <c r="L117" s="412"/>
      <c r="M117" s="413"/>
      <c r="N117" s="413"/>
      <c r="O117" s="413"/>
      <c r="P117" s="413"/>
      <c r="Q117" s="433"/>
      <c r="R117" s="435"/>
      <c r="S117" s="435"/>
      <c r="T117" s="435"/>
      <c r="U117" s="435"/>
      <c r="V117" s="435"/>
      <c r="W117" s="435"/>
      <c r="X117" s="435"/>
      <c r="Y117" s="435"/>
      <c r="Z117" s="435"/>
      <c r="AA117" s="435"/>
      <c r="AB117" s="435"/>
    </row>
    <row r="118" spans="1:28" ht="14.25" thickBot="1">
      <c r="A118" s="412"/>
      <c r="B118" s="598" t="s">
        <v>217</v>
      </c>
      <c r="C118" s="599"/>
      <c r="D118" s="600"/>
      <c r="E118" s="414"/>
      <c r="F118" s="415" t="s">
        <v>49</v>
      </c>
      <c r="G118" s="412"/>
      <c r="H118" s="412"/>
      <c r="I118" s="412"/>
      <c r="J118" s="412"/>
      <c r="K118" s="412"/>
      <c r="L118" s="415" t="s">
        <v>49</v>
      </c>
      <c r="M118" s="412"/>
      <c r="N118" s="413"/>
      <c r="O118" s="413"/>
      <c r="P118" s="413"/>
      <c r="Q118" s="433"/>
      <c r="R118" s="435"/>
      <c r="S118" s="435"/>
      <c r="T118" s="435"/>
      <c r="U118" s="435"/>
      <c r="V118" s="435"/>
      <c r="W118" s="435"/>
      <c r="X118" s="435"/>
      <c r="Y118" s="435"/>
      <c r="Z118" s="435"/>
      <c r="AA118" s="435"/>
      <c r="AB118" s="435"/>
    </row>
    <row r="119" spans="1:28" ht="14.25" thickBot="1">
      <c r="A119" s="412"/>
      <c r="B119" s="598" t="s">
        <v>219</v>
      </c>
      <c r="C119" s="599"/>
      <c r="D119" s="600"/>
      <c r="E119" s="416"/>
      <c r="F119" s="417">
        <v>0</v>
      </c>
      <c r="G119" s="412" t="str">
        <f>MID(F118,SEARCH("(",F118)+1,3)</f>
        <v>JPY</v>
      </c>
      <c r="H119" s="413"/>
      <c r="I119" s="413"/>
      <c r="J119" s="413"/>
      <c r="K119" s="413"/>
      <c r="L119" s="417">
        <v>0</v>
      </c>
      <c r="M119" s="412" t="str">
        <f>MID(L118,SEARCH("(",L118)+1,3)</f>
        <v>JPY</v>
      </c>
      <c r="N119" s="413"/>
      <c r="O119" s="413"/>
      <c r="P119" s="413"/>
      <c r="Q119" s="433"/>
      <c r="R119" s="435"/>
      <c r="S119" s="435"/>
      <c r="T119" s="435"/>
      <c r="U119" s="435"/>
      <c r="V119" s="435"/>
      <c r="W119" s="435"/>
      <c r="X119" s="435"/>
      <c r="Y119" s="435"/>
      <c r="Z119" s="435"/>
      <c r="AA119" s="435"/>
      <c r="AB119" s="435"/>
    </row>
    <row r="120" spans="1:28" ht="14.25" thickBot="1">
      <c r="A120" s="412"/>
      <c r="B120" s="418" t="s">
        <v>959</v>
      </c>
      <c r="C120" s="419"/>
      <c r="D120" s="419"/>
      <c r="E120" s="420"/>
      <c r="F120" s="415" t="s">
        <v>49</v>
      </c>
      <c r="G120" s="412"/>
      <c r="H120" s="413"/>
      <c r="I120" s="413"/>
      <c r="J120" s="413"/>
      <c r="K120" s="413"/>
      <c r="L120" s="415" t="s">
        <v>49</v>
      </c>
      <c r="M120" s="421"/>
      <c r="N120" s="413"/>
      <c r="O120" s="413"/>
      <c r="P120" s="413"/>
      <c r="Q120" s="433"/>
      <c r="R120" s="435"/>
      <c r="S120" s="435"/>
      <c r="T120" s="435"/>
      <c r="U120" s="435"/>
      <c r="V120" s="435"/>
      <c r="W120" s="435"/>
      <c r="X120" s="435"/>
      <c r="Y120" s="435"/>
      <c r="Z120" s="435"/>
      <c r="AA120" s="435"/>
      <c r="AB120" s="435"/>
    </row>
    <row r="121" spans="1:28" ht="14.25" thickBot="1">
      <c r="A121" s="412"/>
      <c r="B121" s="422" t="s">
        <v>960</v>
      </c>
      <c r="C121" s="416"/>
      <c r="D121" s="423"/>
      <c r="E121" s="420"/>
      <c r="F121" s="417">
        <v>0</v>
      </c>
      <c r="G121" s="412" t="str">
        <f>MID(F120,SEARCH("(",F120)+1,3)</f>
        <v>JPY</v>
      </c>
      <c r="H121" s="413"/>
      <c r="I121" s="413"/>
      <c r="J121" s="413"/>
      <c r="K121" s="413"/>
      <c r="L121" s="417">
        <v>0</v>
      </c>
      <c r="M121" s="412" t="str">
        <f>MID(L120,SEARCH("(",L120)+1,3)</f>
        <v>JPY</v>
      </c>
      <c r="N121" s="413"/>
      <c r="O121" s="413"/>
      <c r="P121" s="413"/>
      <c r="Q121" s="433"/>
      <c r="R121" s="435"/>
      <c r="S121" s="435"/>
      <c r="T121" s="435"/>
      <c r="U121" s="435"/>
      <c r="V121" s="435"/>
      <c r="W121" s="435"/>
      <c r="X121" s="435"/>
      <c r="Y121" s="435"/>
      <c r="Z121" s="435"/>
      <c r="AA121" s="435"/>
      <c r="AB121" s="435"/>
    </row>
    <row r="122" spans="1:28">
      <c r="A122" s="412"/>
      <c r="B122" s="413"/>
      <c r="C122" s="413"/>
      <c r="D122" s="413"/>
      <c r="E122" s="413"/>
      <c r="F122" s="413"/>
      <c r="G122" s="413"/>
      <c r="H122" s="413"/>
      <c r="I122" s="413"/>
      <c r="J122" s="413"/>
      <c r="K122" s="413"/>
      <c r="L122" s="413"/>
      <c r="M122" s="413"/>
      <c r="N122" s="413"/>
      <c r="O122" s="413"/>
      <c r="P122" s="413"/>
      <c r="Q122" s="433"/>
      <c r="R122" s="435"/>
      <c r="S122" s="435"/>
      <c r="T122" s="435"/>
      <c r="U122" s="435"/>
      <c r="V122" s="435"/>
      <c r="W122" s="435"/>
      <c r="X122" s="435"/>
      <c r="Y122" s="435"/>
      <c r="Z122" s="435"/>
      <c r="AA122" s="435"/>
      <c r="AB122" s="435"/>
    </row>
    <row r="123" spans="1:28" ht="14.25" thickBot="1">
      <c r="A123" s="412"/>
      <c r="B123" s="412" t="str">
        <f>$F$33&amp;"の特定親族（８人目）"</f>
        <v>生計維持者１の特定親族（８人目）</v>
      </c>
      <c r="C123" s="413"/>
      <c r="D123" s="413"/>
      <c r="E123" s="413"/>
      <c r="F123" s="413"/>
      <c r="G123" s="413"/>
      <c r="H123" s="413"/>
      <c r="I123" s="412" t="str">
        <f>$L$33&amp;"の特定親族（８人目）"</f>
        <v>生計維持者２の特定親族（８人目）</v>
      </c>
      <c r="J123" s="413"/>
      <c r="K123" s="413"/>
      <c r="L123" s="412"/>
      <c r="M123" s="413"/>
      <c r="N123" s="413"/>
      <c r="O123" s="413"/>
      <c r="P123" s="413"/>
      <c r="Q123" s="433"/>
      <c r="R123" s="435"/>
      <c r="S123" s="435"/>
      <c r="T123" s="435"/>
      <c r="U123" s="435"/>
      <c r="V123" s="435"/>
      <c r="W123" s="435"/>
      <c r="X123" s="435"/>
      <c r="Y123" s="435"/>
      <c r="Z123" s="435"/>
      <c r="AA123" s="435"/>
      <c r="AB123" s="435"/>
    </row>
    <row r="124" spans="1:28" ht="14.25" thickBot="1">
      <c r="A124" s="412"/>
      <c r="B124" s="598" t="s">
        <v>217</v>
      </c>
      <c r="C124" s="599"/>
      <c r="D124" s="600"/>
      <c r="E124" s="414"/>
      <c r="F124" s="415" t="s">
        <v>49</v>
      </c>
      <c r="G124" s="412"/>
      <c r="H124" s="412"/>
      <c r="I124" s="412"/>
      <c r="J124" s="412"/>
      <c r="K124" s="412"/>
      <c r="L124" s="415" t="s">
        <v>49</v>
      </c>
      <c r="M124" s="412"/>
      <c r="N124" s="413"/>
      <c r="O124" s="413"/>
      <c r="P124" s="413"/>
      <c r="Q124" s="433"/>
      <c r="R124" s="435"/>
      <c r="S124" s="435"/>
      <c r="T124" s="435"/>
      <c r="U124" s="435"/>
      <c r="V124" s="435"/>
      <c r="W124" s="435"/>
      <c r="X124" s="435"/>
      <c r="Y124" s="435"/>
      <c r="Z124" s="435"/>
      <c r="AA124" s="435"/>
      <c r="AB124" s="435"/>
    </row>
    <row r="125" spans="1:28" ht="14.25" thickBot="1">
      <c r="A125" s="412"/>
      <c r="B125" s="598" t="s">
        <v>219</v>
      </c>
      <c r="C125" s="599"/>
      <c r="D125" s="600"/>
      <c r="E125" s="416"/>
      <c r="F125" s="417">
        <v>0</v>
      </c>
      <c r="G125" s="412" t="str">
        <f>MID(F124,SEARCH("(",F124)+1,3)</f>
        <v>JPY</v>
      </c>
      <c r="H125" s="413"/>
      <c r="I125" s="413"/>
      <c r="J125" s="413"/>
      <c r="K125" s="413"/>
      <c r="L125" s="417">
        <v>0</v>
      </c>
      <c r="M125" s="412" t="str">
        <f>MID(L124,SEARCH("(",L124)+1,3)</f>
        <v>JPY</v>
      </c>
      <c r="N125" s="413"/>
      <c r="O125" s="413"/>
      <c r="P125" s="413"/>
      <c r="Q125" s="433"/>
      <c r="R125" s="435"/>
      <c r="S125" s="435"/>
      <c r="T125" s="435"/>
      <c r="U125" s="435"/>
      <c r="V125" s="435"/>
      <c r="W125" s="435"/>
      <c r="X125" s="435"/>
      <c r="Y125" s="435"/>
      <c r="Z125" s="435"/>
      <c r="AA125" s="435"/>
      <c r="AB125" s="435"/>
    </row>
    <row r="126" spans="1:28" ht="14.25" thickBot="1">
      <c r="A126" s="412"/>
      <c r="B126" s="418" t="s">
        <v>959</v>
      </c>
      <c r="C126" s="419"/>
      <c r="D126" s="419"/>
      <c r="E126" s="420"/>
      <c r="F126" s="415" t="s">
        <v>49</v>
      </c>
      <c r="G126" s="412"/>
      <c r="H126" s="413"/>
      <c r="I126" s="413"/>
      <c r="J126" s="413"/>
      <c r="K126" s="413"/>
      <c r="L126" s="415" t="s">
        <v>49</v>
      </c>
      <c r="M126" s="421"/>
      <c r="N126" s="413"/>
      <c r="O126" s="413"/>
      <c r="P126" s="413"/>
      <c r="Q126" s="433"/>
      <c r="R126" s="435"/>
      <c r="S126" s="435"/>
      <c r="T126" s="435"/>
      <c r="U126" s="435"/>
      <c r="V126" s="435"/>
      <c r="W126" s="435"/>
      <c r="X126" s="435"/>
      <c r="Y126" s="435"/>
      <c r="Z126" s="435"/>
      <c r="AA126" s="435"/>
      <c r="AB126" s="435"/>
    </row>
    <row r="127" spans="1:28" ht="14.25" thickBot="1">
      <c r="A127" s="412"/>
      <c r="B127" s="422" t="s">
        <v>960</v>
      </c>
      <c r="C127" s="416"/>
      <c r="D127" s="423"/>
      <c r="E127" s="420"/>
      <c r="F127" s="417">
        <v>0</v>
      </c>
      <c r="G127" s="412" t="str">
        <f>MID(F126,SEARCH("(",F126)+1,3)</f>
        <v>JPY</v>
      </c>
      <c r="H127" s="413"/>
      <c r="I127" s="413"/>
      <c r="J127" s="413"/>
      <c r="K127" s="413"/>
      <c r="L127" s="417">
        <v>0</v>
      </c>
      <c r="M127" s="412" t="str">
        <f>MID(L126,SEARCH("(",L126)+1,3)</f>
        <v>JPY</v>
      </c>
      <c r="N127" s="413"/>
      <c r="O127" s="413"/>
      <c r="P127" s="413"/>
      <c r="Q127" s="433"/>
      <c r="R127" s="435"/>
      <c r="S127" s="435"/>
      <c r="T127" s="435"/>
      <c r="U127" s="435"/>
      <c r="V127" s="435"/>
      <c r="W127" s="435"/>
      <c r="X127" s="435"/>
      <c r="Y127" s="435"/>
      <c r="Z127" s="435"/>
      <c r="AA127" s="435"/>
      <c r="AB127" s="435"/>
    </row>
    <row r="128" spans="1:28">
      <c r="A128" s="412"/>
      <c r="B128" s="413"/>
      <c r="C128" s="413"/>
      <c r="D128" s="413"/>
      <c r="E128" s="413"/>
      <c r="F128" s="413"/>
      <c r="G128" s="413"/>
      <c r="H128" s="413"/>
      <c r="I128" s="413"/>
      <c r="J128" s="413"/>
      <c r="K128" s="413"/>
      <c r="L128" s="413"/>
      <c r="M128" s="413"/>
      <c r="N128" s="413"/>
      <c r="O128" s="413"/>
      <c r="P128" s="413"/>
      <c r="Q128" s="433"/>
      <c r="R128" s="435"/>
      <c r="S128" s="435"/>
      <c r="T128" s="435"/>
      <c r="U128" s="435"/>
      <c r="V128" s="435"/>
      <c r="W128" s="435"/>
      <c r="X128" s="435"/>
      <c r="Y128" s="435"/>
      <c r="Z128" s="435"/>
      <c r="AA128" s="435"/>
      <c r="AB128" s="435"/>
    </row>
    <row r="129" spans="1:28" ht="14.25" thickBot="1">
      <c r="A129" s="412"/>
      <c r="B129" s="412" t="str">
        <f>$F$33&amp;"の特定親族（９人目）"</f>
        <v>生計維持者１の特定親族（９人目）</v>
      </c>
      <c r="C129" s="413"/>
      <c r="D129" s="413"/>
      <c r="E129" s="413"/>
      <c r="F129" s="413"/>
      <c r="G129" s="413"/>
      <c r="H129" s="413"/>
      <c r="I129" s="412" t="str">
        <f>$L$33&amp;"の特定親族（９人目）"</f>
        <v>生計維持者２の特定親族（９人目）</v>
      </c>
      <c r="J129" s="413"/>
      <c r="K129" s="413"/>
      <c r="L129" s="412"/>
      <c r="M129" s="413"/>
      <c r="N129" s="413"/>
      <c r="O129" s="413"/>
      <c r="P129" s="413"/>
      <c r="Q129" s="433"/>
      <c r="R129" s="435"/>
      <c r="S129" s="435"/>
      <c r="T129" s="435"/>
      <c r="U129" s="435"/>
      <c r="V129" s="435"/>
      <c r="W129" s="435"/>
      <c r="X129" s="435"/>
      <c r="Y129" s="435"/>
      <c r="Z129" s="435"/>
      <c r="AA129" s="435"/>
      <c r="AB129" s="435"/>
    </row>
    <row r="130" spans="1:28" ht="14.25" thickBot="1">
      <c r="A130" s="412"/>
      <c r="B130" s="598" t="s">
        <v>217</v>
      </c>
      <c r="C130" s="599"/>
      <c r="D130" s="600"/>
      <c r="E130" s="414"/>
      <c r="F130" s="415" t="s">
        <v>49</v>
      </c>
      <c r="G130" s="412"/>
      <c r="H130" s="412"/>
      <c r="I130" s="412"/>
      <c r="J130" s="412"/>
      <c r="K130" s="412"/>
      <c r="L130" s="415" t="s">
        <v>49</v>
      </c>
      <c r="M130" s="412"/>
      <c r="N130" s="413"/>
      <c r="O130" s="413"/>
      <c r="P130" s="413"/>
      <c r="Q130" s="433"/>
      <c r="R130" s="435"/>
      <c r="S130" s="435"/>
      <c r="T130" s="435"/>
      <c r="U130" s="435"/>
      <c r="V130" s="435"/>
      <c r="W130" s="435"/>
      <c r="X130" s="435"/>
      <c r="Y130" s="435"/>
      <c r="Z130" s="435"/>
      <c r="AA130" s="435"/>
      <c r="AB130" s="435"/>
    </row>
    <row r="131" spans="1:28" ht="14.25" thickBot="1">
      <c r="A131" s="412"/>
      <c r="B131" s="598" t="s">
        <v>219</v>
      </c>
      <c r="C131" s="599"/>
      <c r="D131" s="600"/>
      <c r="E131" s="416"/>
      <c r="F131" s="417">
        <v>0</v>
      </c>
      <c r="G131" s="412" t="str">
        <f>MID(F130,SEARCH("(",F130)+1,3)</f>
        <v>JPY</v>
      </c>
      <c r="H131" s="413"/>
      <c r="I131" s="413"/>
      <c r="J131" s="413"/>
      <c r="K131" s="413"/>
      <c r="L131" s="417">
        <v>0</v>
      </c>
      <c r="M131" s="412" t="str">
        <f>MID(L130,SEARCH("(",L130)+1,3)</f>
        <v>JPY</v>
      </c>
      <c r="N131" s="413"/>
      <c r="O131" s="413"/>
      <c r="P131" s="413"/>
      <c r="Q131" s="433"/>
      <c r="R131" s="435"/>
      <c r="S131" s="435"/>
      <c r="T131" s="435"/>
      <c r="U131" s="435"/>
      <c r="V131" s="435"/>
      <c r="W131" s="435"/>
      <c r="X131" s="435"/>
      <c r="Y131" s="435"/>
      <c r="Z131" s="435"/>
      <c r="AA131" s="435"/>
      <c r="AB131" s="435"/>
    </row>
    <row r="132" spans="1:28" ht="14.25" thickBot="1">
      <c r="A132" s="412"/>
      <c r="B132" s="418" t="s">
        <v>959</v>
      </c>
      <c r="C132" s="419"/>
      <c r="D132" s="419"/>
      <c r="E132" s="420"/>
      <c r="F132" s="415" t="s">
        <v>49</v>
      </c>
      <c r="G132" s="412"/>
      <c r="H132" s="413"/>
      <c r="I132" s="413"/>
      <c r="J132" s="413"/>
      <c r="K132" s="413"/>
      <c r="L132" s="415" t="s">
        <v>49</v>
      </c>
      <c r="M132" s="421"/>
      <c r="N132" s="413"/>
      <c r="O132" s="413"/>
      <c r="P132" s="413"/>
      <c r="Q132" s="433"/>
      <c r="R132" s="435"/>
      <c r="S132" s="435"/>
      <c r="T132" s="435"/>
      <c r="U132" s="435"/>
      <c r="V132" s="435"/>
      <c r="W132" s="435"/>
      <c r="X132" s="435"/>
      <c r="Y132" s="435"/>
      <c r="Z132" s="435"/>
      <c r="AA132" s="435"/>
      <c r="AB132" s="435"/>
    </row>
    <row r="133" spans="1:28" ht="14.25" thickBot="1">
      <c r="A133" s="412"/>
      <c r="B133" s="422" t="s">
        <v>960</v>
      </c>
      <c r="C133" s="416"/>
      <c r="D133" s="423"/>
      <c r="E133" s="420"/>
      <c r="F133" s="417">
        <v>0</v>
      </c>
      <c r="G133" s="412" t="str">
        <f>MID(F132,SEARCH("(",F132)+1,3)</f>
        <v>JPY</v>
      </c>
      <c r="H133" s="413"/>
      <c r="I133" s="413"/>
      <c r="J133" s="413"/>
      <c r="K133" s="413"/>
      <c r="L133" s="417">
        <v>0</v>
      </c>
      <c r="M133" s="412" t="str">
        <f>MID(L132,SEARCH("(",L132)+1,3)</f>
        <v>JPY</v>
      </c>
      <c r="N133" s="413"/>
      <c r="O133" s="413"/>
      <c r="P133" s="413"/>
      <c r="Q133" s="433"/>
      <c r="R133" s="435"/>
      <c r="S133" s="435"/>
      <c r="T133" s="435"/>
      <c r="U133" s="435"/>
      <c r="V133" s="435"/>
      <c r="W133" s="435"/>
      <c r="X133" s="435"/>
      <c r="Y133" s="435"/>
      <c r="Z133" s="435"/>
      <c r="AA133" s="435"/>
      <c r="AB133" s="435"/>
    </row>
    <row r="134" spans="1:28">
      <c r="Q134" s="434"/>
      <c r="R134" s="435"/>
      <c r="S134" s="435"/>
      <c r="T134" s="435"/>
      <c r="U134" s="435"/>
      <c r="V134" s="435"/>
      <c r="W134" s="435"/>
      <c r="X134" s="435"/>
      <c r="Y134" s="435"/>
      <c r="Z134" s="435"/>
      <c r="AA134" s="435"/>
      <c r="AB134" s="435"/>
    </row>
  </sheetData>
  <sheetProtection algorithmName="SHA-512" hashValue="W9pGmj8Zb/EZdJ0FErzFlzgHvK1U5sb0hQ3MQfWu61A5WaXhRh+G/5Xhsg1QrTEmuhqQdI2GFrnmgmEAgsmTJg==" saltValue="b8r03I7YXa58xlW/S2c0cQ==" spinCount="100000" sheet="1" objects="1" scenarios="1"/>
  <protectedRanges>
    <protectedRange sqref="D10:E18 F24:F31 F35:F40 H11:H12 F43:F48 F51:F53 L51:L53 L8:N8 H43:H48 H35:H40 L35:L39 L43:L48 I13:I14 N10:N14 L10:M12 G15:G18 N37 N44:N48 F55:F60 L55:L60 H55:H60 N55:N60" name="範囲1"/>
    <protectedRange sqref="F54" name="範囲1_1_1"/>
    <protectedRange sqref="L54" name="範囲1_2_1"/>
    <protectedRange sqref="L82:L85 F82:F85 F88:F91 F94:F97 F100:F103 F106:F109 F112:F115 F118:F121 F124:F127 F130:F133 L88:L91 L94:L97 L100:L103 L106:L109 L112:L115 L118:L121 L124:L127 L130:L133" name="範囲1_3"/>
  </protectedRanges>
  <mergeCells count="93">
    <mergeCell ref="B124:D124"/>
    <mergeCell ref="B125:D125"/>
    <mergeCell ref="B130:D130"/>
    <mergeCell ref="B131:D131"/>
    <mergeCell ref="R40:AB47"/>
    <mergeCell ref="R48:AB52"/>
    <mergeCell ref="R78:AB78"/>
    <mergeCell ref="R79:AB83"/>
    <mergeCell ref="R84:AB84"/>
    <mergeCell ref="R85:AB85"/>
    <mergeCell ref="R86:AB86"/>
    <mergeCell ref="B107:D107"/>
    <mergeCell ref="B112:D112"/>
    <mergeCell ref="B113:D113"/>
    <mergeCell ref="B118:D118"/>
    <mergeCell ref="B119:D119"/>
    <mergeCell ref="B94:D94"/>
    <mergeCell ref="B95:D95"/>
    <mergeCell ref="B100:D100"/>
    <mergeCell ref="B101:D101"/>
    <mergeCell ref="B106:D106"/>
    <mergeCell ref="A78:O78"/>
    <mergeCell ref="B82:D82"/>
    <mergeCell ref="B83:D83"/>
    <mergeCell ref="B88:D88"/>
    <mergeCell ref="B89:D89"/>
    <mergeCell ref="L9:N9"/>
    <mergeCell ref="A1:O1"/>
    <mergeCell ref="O2:Q3"/>
    <mergeCell ref="B5:O6"/>
    <mergeCell ref="H8:K8"/>
    <mergeCell ref="L8:N8"/>
    <mergeCell ref="H10:K10"/>
    <mergeCell ref="L10:N10"/>
    <mergeCell ref="D11:F11"/>
    <mergeCell ref="J11:N11"/>
    <mergeCell ref="D13:F13"/>
    <mergeCell ref="G13:H13"/>
    <mergeCell ref="I13:L13"/>
    <mergeCell ref="D15:F15"/>
    <mergeCell ref="G15:H15"/>
    <mergeCell ref="I15:J15"/>
    <mergeCell ref="D17:F17"/>
    <mergeCell ref="G17:H17"/>
    <mergeCell ref="I17:J17"/>
    <mergeCell ref="J29:M29"/>
    <mergeCell ref="K17:N17"/>
    <mergeCell ref="B23:D23"/>
    <mergeCell ref="B24:D24"/>
    <mergeCell ref="B25:D25"/>
    <mergeCell ref="B26:D26"/>
    <mergeCell ref="J26:M26"/>
    <mergeCell ref="B55:D55"/>
    <mergeCell ref="B56:D56"/>
    <mergeCell ref="B38:D38"/>
    <mergeCell ref="B39:D39"/>
    <mergeCell ref="B40:D40"/>
    <mergeCell ref="B43:D43"/>
    <mergeCell ref="B44:D44"/>
    <mergeCell ref="B45:D45"/>
    <mergeCell ref="B54:D54"/>
    <mergeCell ref="R1:AB1"/>
    <mergeCell ref="B46:D46"/>
    <mergeCell ref="B51:D51"/>
    <mergeCell ref="B52:D52"/>
    <mergeCell ref="B53:D53"/>
    <mergeCell ref="B30:D30"/>
    <mergeCell ref="J30:M30"/>
    <mergeCell ref="B31:D31"/>
    <mergeCell ref="B35:D35"/>
    <mergeCell ref="B36:D36"/>
    <mergeCell ref="B37:D37"/>
    <mergeCell ref="B27:D27"/>
    <mergeCell ref="J27:M27"/>
    <mergeCell ref="B28:D28"/>
    <mergeCell ref="J28:M28"/>
    <mergeCell ref="B29:D29"/>
    <mergeCell ref="B57:D57"/>
    <mergeCell ref="B58:D58"/>
    <mergeCell ref="B59:D59"/>
    <mergeCell ref="B60:D60"/>
    <mergeCell ref="I74:J74"/>
    <mergeCell ref="R68:AB71"/>
    <mergeCell ref="R72:AB73"/>
    <mergeCell ref="R30:AB33"/>
    <mergeCell ref="R53:AB58"/>
    <mergeCell ref="R4:AB7"/>
    <mergeCell ref="R8:AB9"/>
    <mergeCell ref="R20:AB24"/>
    <mergeCell ref="R59:AB62"/>
    <mergeCell ref="R64:AB67"/>
    <mergeCell ref="R15:AB19"/>
    <mergeCell ref="R10:AB14"/>
  </mergeCells>
  <phoneticPr fontId="2"/>
  <conditionalFormatting sqref="A81:G86">
    <cfRule type="expression" dxfId="85" priority="33">
      <formula>$F$54&lt;1</formula>
    </cfRule>
  </conditionalFormatting>
  <conditionalFormatting sqref="A87:G92">
    <cfRule type="expression" dxfId="84" priority="32">
      <formula>$F$54&lt;2</formula>
    </cfRule>
  </conditionalFormatting>
  <conditionalFormatting sqref="A93:G98">
    <cfRule type="expression" dxfId="83" priority="31">
      <formula>$F$54&lt;3</formula>
    </cfRule>
  </conditionalFormatting>
  <conditionalFormatting sqref="A99:G104">
    <cfRule type="expression" dxfId="82" priority="30">
      <formula>$F$54&lt;4</formula>
    </cfRule>
  </conditionalFormatting>
  <conditionalFormatting sqref="A105:G110">
    <cfRule type="expression" dxfId="81" priority="29">
      <formula>$F$54&lt;5</formula>
    </cfRule>
  </conditionalFormatting>
  <conditionalFormatting sqref="A111:G116">
    <cfRule type="expression" dxfId="80" priority="28">
      <formula>$F$54&lt;6</formula>
    </cfRule>
  </conditionalFormatting>
  <conditionalFormatting sqref="A117:G122">
    <cfRule type="expression" dxfId="79" priority="27">
      <formula>$F$54&lt;7</formula>
    </cfRule>
  </conditionalFormatting>
  <conditionalFormatting sqref="A123:G128">
    <cfRule type="expression" dxfId="78" priority="26">
      <formula>$F$54&lt;8</formula>
    </cfRule>
  </conditionalFormatting>
  <conditionalFormatting sqref="A129:G133">
    <cfRule type="expression" dxfId="77" priority="25">
      <formula>$F$54&lt;9</formula>
    </cfRule>
  </conditionalFormatting>
  <conditionalFormatting sqref="A78:Q80">
    <cfRule type="expression" dxfId="76" priority="2">
      <formula>$F$54+$L$54&lt;1</formula>
    </cfRule>
  </conditionalFormatting>
  <conditionalFormatting sqref="B26 E26:F26">
    <cfRule type="expression" dxfId="74" priority="64">
      <formula>$F$25&lt;&gt;"特別の障がい者である"</formula>
    </cfRule>
  </conditionalFormatting>
  <conditionalFormatting sqref="B28:B31 E28:G31">
    <cfRule type="expression" dxfId="73" priority="63">
      <formula>$F$27="いいえ"</formula>
    </cfRule>
  </conditionalFormatting>
  <conditionalFormatting sqref="B40 L40">
    <cfRule type="expression" dxfId="72" priority="60">
      <formula>$F$36="はい"</formula>
    </cfRule>
  </conditionalFormatting>
  <conditionalFormatting sqref="B87">
    <cfRule type="expression" dxfId="71" priority="22">
      <formula>$F$54&lt;1</formula>
    </cfRule>
  </conditionalFormatting>
  <conditionalFormatting sqref="B17:K17">
    <cfRule type="expression" dxfId="68" priority="44">
      <formula>$I$15="その他"</formula>
    </cfRule>
  </conditionalFormatting>
  <conditionalFormatting sqref="E37:I38">
    <cfRule type="expression" dxfId="64" priority="49">
      <formula>$F$36="いいえ"</formula>
    </cfRule>
  </conditionalFormatting>
  <conditionalFormatting sqref="E40:I40">
    <cfRule type="expression" dxfId="63" priority="48">
      <formula>$F$36="はい"</formula>
    </cfRule>
  </conditionalFormatting>
  <conditionalFormatting sqref="F76:F77">
    <cfRule type="expression" dxfId="61" priority="3">
      <formula>OR($F$36="いいえ",$F$37="いいえ")</formula>
    </cfRule>
  </conditionalFormatting>
  <conditionalFormatting sqref="H11">
    <cfRule type="expression" dxfId="55" priority="58">
      <formula>$C$11="申込受付番号"</formula>
    </cfRule>
  </conditionalFormatting>
  <conditionalFormatting sqref="H81:Q86">
    <cfRule type="expression" dxfId="53" priority="21">
      <formula>$L$54&lt;1</formula>
    </cfRule>
  </conditionalFormatting>
  <conditionalFormatting sqref="H87:Q92">
    <cfRule type="expression" dxfId="52" priority="20">
      <formula>$L$54&lt;2</formula>
    </cfRule>
  </conditionalFormatting>
  <conditionalFormatting sqref="H93:Q98">
    <cfRule type="expression" dxfId="51" priority="19">
      <formula>$L$54&lt;3</formula>
    </cfRule>
  </conditionalFormatting>
  <conditionalFormatting sqref="H99:Q104">
    <cfRule type="expression" dxfId="50" priority="18">
      <formula>$L$54&lt;4</formula>
    </cfRule>
  </conditionalFormatting>
  <conditionalFormatting sqref="H105:Q110">
    <cfRule type="expression" dxfId="49" priority="17">
      <formula>$L$54&lt;5</formula>
    </cfRule>
  </conditionalFormatting>
  <conditionalFormatting sqref="H111:Q116">
    <cfRule type="expression" dxfId="48" priority="16">
      <formula>$L$54&lt;6</formula>
    </cfRule>
  </conditionalFormatting>
  <conditionalFormatting sqref="H117:Q122">
    <cfRule type="expression" dxfId="47" priority="15">
      <formula>$L$54&lt;7</formula>
    </cfRule>
  </conditionalFormatting>
  <conditionalFormatting sqref="H123:Q128">
    <cfRule type="expression" dxfId="46" priority="14">
      <formula>$L$54&lt;8</formula>
    </cfRule>
  </conditionalFormatting>
  <conditionalFormatting sqref="H129:Q133">
    <cfRule type="expression" dxfId="45" priority="65">
      <formula>$L$54&lt;9</formula>
    </cfRule>
  </conditionalFormatting>
  <conditionalFormatting sqref="K54:L54">
    <cfRule type="expression" dxfId="34" priority="36">
      <formula>$L$33=""</formula>
    </cfRule>
  </conditionalFormatting>
  <conditionalFormatting sqref="K34:M40 B37:B38 K42:M48">
    <cfRule type="expression" dxfId="33" priority="61">
      <formula>$F$36="いいえ"</formula>
    </cfRule>
  </conditionalFormatting>
  <conditionalFormatting sqref="K51:M53 K55:M60">
    <cfRule type="expression" dxfId="32" priority="47">
      <formula>$F$36="いいえ"</formula>
    </cfRule>
  </conditionalFormatting>
  <conditionalFormatting sqref="L82:M85">
    <cfRule type="expression" dxfId="31" priority="66">
      <formula>$L$33=""</formula>
    </cfRule>
  </conditionalFormatting>
  <conditionalFormatting sqref="L75:O75 M76:O77">
    <cfRule type="expression" dxfId="30" priority="62">
      <formula>OR($F$36="いいえ",$F$37="いいえ")</formula>
    </cfRule>
  </conditionalFormatting>
  <conditionalFormatting sqref="M88 L89 M90 L91">
    <cfRule type="expression" dxfId="29" priority="67">
      <formula>$L$33=""</formula>
    </cfRule>
  </conditionalFormatting>
  <conditionalFormatting sqref="M94 L95 M96 L97">
    <cfRule type="expression" dxfId="28" priority="68">
      <formula>$L$33=""</formula>
    </cfRule>
  </conditionalFormatting>
  <conditionalFormatting sqref="M100 L101 M102 L103">
    <cfRule type="expression" dxfId="27" priority="69">
      <formula>$L$33=""</formula>
    </cfRule>
  </conditionalFormatting>
  <conditionalFormatting sqref="M106 L107 M108 L109">
    <cfRule type="expression" dxfId="26" priority="70">
      <formula>$L$33=""</formula>
    </cfRule>
  </conditionalFormatting>
  <conditionalFormatting sqref="M112 L113 M114 L115">
    <cfRule type="expression" dxfId="25" priority="71">
      <formula>$L$33=""</formula>
    </cfRule>
  </conditionalFormatting>
  <conditionalFormatting sqref="M118 L119 M120 L121">
    <cfRule type="expression" dxfId="24" priority="72">
      <formula>$L$33=""</formula>
    </cfRule>
  </conditionalFormatting>
  <conditionalFormatting sqref="M124 L125 M126 L127">
    <cfRule type="expression" dxfId="23" priority="73">
      <formula>$L$33=""</formula>
    </cfRule>
  </conditionalFormatting>
  <conditionalFormatting sqref="M130 L131 M132 L133">
    <cfRule type="expression" dxfId="22" priority="74">
      <formula>$L$33=""</formula>
    </cfRule>
  </conditionalFormatting>
  <conditionalFormatting sqref="N52:N54">
    <cfRule type="expression" dxfId="20" priority="34">
      <formula>$F$36="いいえ"</formula>
    </cfRule>
  </conditionalFormatting>
  <conditionalFormatting sqref="N55:O55">
    <cfRule type="expression" dxfId="19" priority="46">
      <formula>$F$36="いいえ"</formula>
    </cfRule>
  </conditionalFormatting>
  <conditionalFormatting sqref="O51:O54">
    <cfRule type="expression" dxfId="18" priority="37">
      <formula>$F$36="いいえ"</formula>
    </cfRule>
  </conditionalFormatting>
  <dataValidations count="7">
    <dataValidation type="decimal" allowBlank="1" showInputMessage="1" showErrorMessage="1" sqref="F29" xr:uid="{00000000-0002-0000-0100-000000000000}">
      <formula1>0</formula1>
      <formula2>9.99999999999999E+23</formula2>
    </dataValidation>
    <dataValidation type="whole" allowBlank="1" showInputMessage="1" showErrorMessage="1" sqref="D10:E10" xr:uid="{00000000-0002-0000-0100-000001000000}">
      <formula1>2000</formula1>
      <formula2>9999</formula2>
    </dataValidation>
    <dataValidation type="date" allowBlank="1" showInputMessage="1" showErrorMessage="1" sqref="N13:N14 I13:I14 L8" xr:uid="{00000000-0002-0000-0100-000002000000}">
      <formula1>1</formula1>
      <formula2>401404</formula2>
    </dataValidation>
    <dataValidation type="decimal" allowBlank="1" showInputMessage="1" showErrorMessage="1" sqref="H48 F31 N48 F48 L48" xr:uid="{00000000-0002-0000-0100-000003000000}">
      <formula1>-999999999999999000000</formula1>
      <formula2>999999999999999000000</formula2>
    </dataValidation>
    <dataValidation type="date" allowBlank="1" showInputMessage="1" showErrorMessage="1" sqref="H35 F35 L35" xr:uid="{00000000-0002-0000-0100-000004000000}">
      <formula1>1</formula1>
      <formula2>73051</formula2>
    </dataValidation>
    <dataValidation type="decimal" allowBlank="1" showInputMessage="1" showErrorMessage="1" sqref="H46 F44 H44 F46 L46 L44 N44:N47 H51 N51" xr:uid="{00000000-0002-0000-0100-000005000000}">
      <formula1>0</formula1>
      <formula2>999999999999999000000</formula2>
    </dataValidation>
    <dataValidation type="whole" allowBlank="1" showInputMessage="1" showErrorMessage="1" sqref="H57:H60 N57:N60 H55 N55 L51:L60 F51:F60" xr:uid="{00000000-0002-0000-0100-000006000000}">
      <formula1>0</formula1>
      <formula2>99</formula2>
    </dataValidation>
  </dataValidations>
  <printOptions horizontalCentered="1" verticalCentered="1"/>
  <pageMargins left="0.11811023622047245" right="0.11811023622047245" top="0.15748031496062992" bottom="0.15748031496062992" header="0" footer="0"/>
  <pageSetup paperSize="9" scale="37" orientation="landscape" r:id="rId1"/>
  <extLst>
    <ext xmlns:x14="http://schemas.microsoft.com/office/spreadsheetml/2009/9/main" uri="{78C0D931-6437-407d-A8EE-F0AAD7539E65}">
      <x14:conditionalFormattings>
        <x14:conditionalFormatting xmlns:xm="http://schemas.microsoft.com/office/excel/2006/main">
          <x14:cfRule type="expression" priority="50" id="{1D769EC6-5785-4462-9206-ED82F7EEAEA3}">
            <xm:f>計算シート!$C$69=1</xm:f>
            <x14:dxf>
              <font>
                <b/>
                <i val="0"/>
                <color auto="1"/>
              </font>
            </x14:dxf>
          </x14:cfRule>
          <xm:sqref>A22</xm:sqref>
        </x14:conditionalFormatting>
        <x14:conditionalFormatting xmlns:xm="http://schemas.microsoft.com/office/excel/2006/main">
          <x14:cfRule type="expression" priority="51" id="{BF44CD1D-1969-4FE1-AE93-5FCF4D70D0D9}">
            <xm:f>計算シート!$C$69=1</xm:f>
            <x14:dxf>
              <border>
                <left style="dotted">
                  <color auto="1"/>
                </left>
                <vertical/>
                <horizontal/>
              </border>
            </x14:dxf>
          </x14:cfRule>
          <xm:sqref>A22:A31</xm:sqref>
        </x14:conditionalFormatting>
        <x14:conditionalFormatting xmlns:xm="http://schemas.microsoft.com/office/excel/2006/main">
          <x14:cfRule type="expression" priority="52" id="{F9674204-EE13-464E-BBC3-2B0EEF31F62B}">
            <xm:f>計算シート!$C$69=1</xm:f>
            <x14:dxf>
              <border>
                <bottom style="dotted">
                  <color auto="1"/>
                </bottom>
                <vertical/>
                <horizontal/>
              </border>
            </x14:dxf>
          </x14:cfRule>
          <xm:sqref>A31:B31 E31:G31</xm:sqref>
        </x14:conditionalFormatting>
        <x14:conditionalFormatting xmlns:xm="http://schemas.microsoft.com/office/excel/2006/main">
          <x14:cfRule type="expression" priority="57" id="{5739785A-9029-45E6-B091-B846B5BCAE0B}">
            <xm:f>計算シート!$C$69=1</xm:f>
            <x14:dxf>
              <font>
                <color theme="0" tint="-4.9989318521683403E-2"/>
              </font>
              <fill>
                <patternFill>
                  <bgColor theme="0" tint="-4.9989318521683403E-2"/>
                </patternFill>
              </fill>
              <border>
                <left/>
                <right/>
                <top/>
                <bottom/>
              </border>
            </x14:dxf>
          </x14:cfRule>
          <xm:sqref>A22:D22 E22:G31 A23:B31</xm:sqref>
        </x14:conditionalFormatting>
        <x14:conditionalFormatting xmlns:xm="http://schemas.microsoft.com/office/excel/2006/main">
          <x14:cfRule type="expression" priority="54" id="{14D21713-E15E-4A02-B0DB-78E8E6654C33}">
            <xm:f>計算シート!$C$69=1</xm:f>
            <x14:dxf>
              <border>
                <left/>
                <right/>
                <top style="dotted">
                  <color auto="1"/>
                </top>
                <bottom/>
                <vertical/>
                <horizontal/>
              </border>
            </x14:dxf>
          </x14:cfRule>
          <xm:sqref>A22:G22</xm:sqref>
        </x14:conditionalFormatting>
        <x14:conditionalFormatting xmlns:xm="http://schemas.microsoft.com/office/excel/2006/main">
          <x14:cfRule type="expression" priority="1" id="{7FDC061A-F6A7-4DCF-95F3-54BC57AE3D2C}">
            <xm:f>計算シート!$C$51=0</xm:f>
            <x14:dxf>
              <font>
                <color theme="0" tint="-4.9989318521683403E-2"/>
              </font>
              <fill>
                <patternFill>
                  <bgColor theme="0" tint="-4.9989318521683403E-2"/>
                </patternFill>
              </fill>
            </x14:dxf>
          </x14:cfRule>
          <xm:sqref>A78:Q133</xm:sqref>
        </x14:conditionalFormatting>
        <x14:conditionalFormatting xmlns:xm="http://schemas.microsoft.com/office/excel/2006/main">
          <x14:cfRule type="expression" priority="206" id="{3800B299-3AFC-446F-98D2-8E6ED4292544}">
            <xm:f>計算シート!C69=1</xm:f>
            <x14:dxf>
              <font>
                <color theme="0"/>
              </font>
              <border>
                <left/>
                <right/>
                <top/>
                <bottom/>
                <vertical/>
                <horizontal/>
              </border>
            </x14:dxf>
          </x14:cfRule>
          <xm:sqref>B17:C17</xm:sqref>
        </x14:conditionalFormatting>
        <x14:conditionalFormatting xmlns:xm="http://schemas.microsoft.com/office/excel/2006/main">
          <x14:cfRule type="expression" priority="35" id="{25B949DD-3771-4098-AB55-91A0AA956C71}">
            <xm:f>計算シート!$C$51=0</xm:f>
            <x14:dxf>
              <font>
                <color theme="0" tint="-4.9989318521683403E-2"/>
              </font>
              <fill>
                <patternFill>
                  <bgColor theme="0" tint="-4.9989318521683403E-2"/>
                </patternFill>
              </fill>
            </x14:dxf>
          </x14:cfRule>
          <xm:sqref>B54:G54 L54:M54</xm:sqref>
        </x14:conditionalFormatting>
        <x14:conditionalFormatting xmlns:xm="http://schemas.microsoft.com/office/excel/2006/main">
          <x14:cfRule type="expression" priority="38" id="{F93A7D6C-A937-4A63-A7BF-E47B5D0EF513}">
            <xm:f>OR($F$36="いいえ",計算シート!$C$69=1,$I$15="祖父",$I$15="祖母",$I$15="その他")</xm:f>
            <x14:dxf>
              <font>
                <color theme="0"/>
              </font>
              <border>
                <left/>
                <right/>
                <top/>
                <bottom/>
                <vertical/>
                <horizontal/>
              </border>
            </x14:dxf>
          </x14:cfRule>
          <xm:sqref>B17:N17</xm:sqref>
        </x14:conditionalFormatting>
        <x14:conditionalFormatting xmlns:xm="http://schemas.microsoft.com/office/excel/2006/main">
          <x14:cfRule type="expression" priority="43" id="{3800B299-3AFC-446F-98D2-8E6ED4292544}">
            <xm:f>計算シート!E68=1</xm:f>
            <x14:dxf>
              <font>
                <color theme="0"/>
              </font>
              <border>
                <left/>
                <right/>
                <top/>
                <bottom/>
                <vertical/>
                <horizontal/>
              </border>
            </x14:dxf>
          </x14:cfRule>
          <x14:cfRule type="expression" priority="208" id="{0950B69D-53EE-401B-9621-D422311CCB96}">
            <xm:f>計算シート!C69=1</xm:f>
            <x14:dxf>
              <border>
                <bottom/>
                <vertical/>
                <horizontal/>
              </border>
            </x14:dxf>
          </x14:cfRule>
          <xm:sqref>D17:K17</xm:sqref>
        </x14:conditionalFormatting>
        <x14:conditionalFormatting xmlns:xm="http://schemas.microsoft.com/office/excel/2006/main">
          <x14:cfRule type="expression" priority="209" id="{0B27DCAB-37F1-4B0D-A2BB-2740B1E14400}">
            <xm:f>計算シート!C69=1</xm:f>
            <x14:dxf>
              <font>
                <color theme="0" tint="-4.9989318521683403E-2"/>
              </font>
              <fill>
                <patternFill>
                  <bgColor theme="0" tint="-4.9989318521683403E-2"/>
                </patternFill>
              </fill>
            </x14:dxf>
          </x14:cfRule>
          <xm:sqref>F37</xm:sqref>
        </x14:conditionalFormatting>
        <x14:conditionalFormatting xmlns:xm="http://schemas.microsoft.com/office/excel/2006/main">
          <x14:cfRule type="expression" priority="210" id="{07964E89-625D-4E41-86F0-70533987D1BE}">
            <xm:f>計算シート!C69=1</xm:f>
            <x14:dxf>
              <border>
                <bottom/>
                <vertical/>
                <horizontal/>
              </border>
            </x14:dxf>
          </x14:cfRule>
          <xm:sqref>G15:G16</xm:sqref>
        </x14:conditionalFormatting>
        <x14:conditionalFormatting xmlns:xm="http://schemas.microsoft.com/office/excel/2006/main">
          <x14:cfRule type="expression" priority="211" id="{C29E8BDD-4702-40CA-ACB1-6B1B5A63CF28}">
            <xm:f>計算シート!G68=1</xm:f>
            <x14:dxf>
              <border>
                <bottom/>
                <vertical/>
                <horizontal/>
              </border>
            </x14:dxf>
          </x14:cfRule>
          <x14:cfRule type="expression" priority="211" id="{054D28EB-D994-47F8-BB84-4A744ADD6F12}">
            <xm:f>計算シート!C70=1</xm:f>
            <x14:dxf>
              <border>
                <bottom/>
                <vertical/>
                <horizontal/>
              </border>
            </x14:dxf>
          </x14:cfRule>
          <xm:sqref>G17:G18</xm:sqref>
        </x14:conditionalFormatting>
        <x14:conditionalFormatting xmlns:xm="http://schemas.microsoft.com/office/excel/2006/main">
          <x14:cfRule type="expression" priority="53" id="{5968249E-9A33-43E5-A48D-D7F299B448E0}">
            <xm:f>計算シート!$C$69=1</xm:f>
            <x14:dxf>
              <border>
                <right style="dotted">
                  <color auto="1"/>
                </right>
                <vertical/>
                <horizontal/>
              </border>
            </x14:dxf>
          </x14:cfRule>
          <xm:sqref>G22:G31</xm:sqref>
        </x14:conditionalFormatting>
        <x14:conditionalFormatting xmlns:xm="http://schemas.microsoft.com/office/excel/2006/main">
          <x14:cfRule type="expression" priority="41" id="{775D9CEA-B4CB-4F3D-8845-22FA65C71457}">
            <xm:f>計算シート!C69=1</xm:f>
            <x14:dxf>
              <border>
                <left style="hair">
                  <color auto="1"/>
                </left>
                <vertical/>
                <horizontal/>
              </border>
            </x14:dxf>
          </x14:cfRule>
          <xm:sqref>G15:H15</xm:sqref>
        </x14:conditionalFormatting>
        <x14:conditionalFormatting xmlns:xm="http://schemas.microsoft.com/office/excel/2006/main">
          <x14:cfRule type="expression" priority="56" id="{D57BC46C-F4E8-4163-AE3C-12B425E6122D}">
            <xm:f>計算シート!D69=1</xm:f>
            <x14:dxf>
              <font>
                <color theme="0" tint="-4.9989318521683403E-2"/>
              </font>
              <fill>
                <patternFill>
                  <bgColor theme="0" tint="-4.9989318521683403E-2"/>
                </patternFill>
              </fill>
            </x14:dxf>
          </x14:cfRule>
          <xm:sqref>H37</xm:sqref>
        </x14:conditionalFormatting>
        <x14:conditionalFormatting xmlns:xm="http://schemas.microsoft.com/office/excel/2006/main">
          <x14:cfRule type="expression" priority="55" id="{70D2A2E9-635D-4996-877C-B20B895ABA14}">
            <xm:f>計算シート!C69=1</xm:f>
            <x14:dxf>
              <border>
                <bottom/>
                <vertical/>
                <horizontal/>
              </border>
            </x14:dxf>
          </x14:cfRule>
          <xm:sqref>I13:I14</xm:sqref>
        </x14:conditionalFormatting>
        <x14:conditionalFormatting xmlns:xm="http://schemas.microsoft.com/office/excel/2006/main">
          <x14:cfRule type="expression" priority="212" id="{1566225C-1C09-437F-99DD-EE91058CB03B}">
            <xm:f>計算シート!F68=1</xm:f>
            <x14:dxf>
              <border>
                <bottom/>
                <vertical/>
                <horizontal/>
              </border>
            </x14:dxf>
          </x14:cfRule>
          <x14:cfRule type="expression" priority="212" id="{E79BD7F4-0FAE-407B-AB5C-C00E1EF5C2D5}">
            <xm:f>計算シート!C70=1</xm:f>
            <x14:dxf>
              <border>
                <bottom/>
                <vertical/>
                <horizontal/>
              </border>
            </x14:dxf>
          </x14:cfRule>
          <xm:sqref>I15:I16</xm:sqref>
        </x14:conditionalFormatting>
        <x14:conditionalFormatting xmlns:xm="http://schemas.microsoft.com/office/excel/2006/main">
          <x14:cfRule type="expression" priority="255" id="{D6EE8BE7-C28C-4556-B4D0-1711221AED30}">
            <xm:f>計算シート!#REF!=1</xm:f>
            <x14:dxf>
              <border>
                <bottom/>
                <vertical/>
                <horizontal/>
              </border>
            </x14:dxf>
          </x14:cfRule>
          <x14:cfRule type="expression" priority="253" id="{9AC41BA2-6DC4-425D-827A-50F488BCE70F}">
            <xm:f>計算シート!J68=1</xm:f>
            <x14:dxf>
              <border>
                <bottom/>
                <vertical/>
                <horizontal/>
              </border>
            </x14:dxf>
          </x14:cfRule>
          <x14:cfRule type="expression" priority="254" id="{3AD5AC95-189C-4DA6-B526-A393EFD759C6}">
            <xm:f>計算シート!C71=1</xm:f>
            <x14:dxf>
              <border>
                <bottom/>
                <vertical/>
                <horizontal/>
              </border>
            </x14:dxf>
          </x14:cfRule>
          <xm:sqref>I17:I18</xm:sqref>
        </x14:conditionalFormatting>
        <x14:conditionalFormatting xmlns:xm="http://schemas.microsoft.com/office/excel/2006/main">
          <x14:cfRule type="expression" priority="216" id="{6DC2242B-64C2-418C-91FE-2CECB70148C1}">
            <xm:f>計算シート!C69=1</xm:f>
            <x14:dxf>
              <font>
                <color theme="0"/>
              </font>
              <border>
                <bottom style="hair">
                  <color auto="1"/>
                </bottom>
                <vertical/>
                <horizontal/>
              </border>
            </x14:dxf>
          </x14:cfRule>
          <xm:sqref>I13:L13</xm:sqref>
        </x14:conditionalFormatting>
        <x14:conditionalFormatting xmlns:xm="http://schemas.microsoft.com/office/excel/2006/main">
          <x14:cfRule type="expression" priority="217" id="{8CE80FD9-2880-47D1-B062-470F6ACF9EE8}">
            <xm:f>計算シート!C69=1</xm:f>
            <x14:dxf>
              <font>
                <color theme="0"/>
              </font>
              <border>
                <bottom style="hair">
                  <color auto="1"/>
                </bottom>
                <vertical/>
                <horizontal/>
              </border>
            </x14:dxf>
          </x14:cfRule>
          <xm:sqref>I17:L17</xm:sqref>
        </x14:conditionalFormatting>
        <x14:conditionalFormatting xmlns:xm="http://schemas.microsoft.com/office/excel/2006/main">
          <x14:cfRule type="expression" priority="218" id="{12AA7AED-0D78-4163-BE1F-4D0EC871F7AD}">
            <xm:f>計算シート!C69=1</xm:f>
            <x14:dxf>
              <font>
                <color theme="0"/>
              </font>
              <border>
                <left/>
                <right/>
                <top/>
                <bottom/>
                <vertical/>
                <horizontal/>
              </border>
            </x14:dxf>
          </x14:cfRule>
          <xm:sqref>I15:N15</xm:sqref>
        </x14:conditionalFormatting>
        <x14:conditionalFormatting xmlns:xm="http://schemas.microsoft.com/office/excel/2006/main">
          <x14:cfRule type="expression" priority="219" id="{550AABFD-FE51-403A-9E25-F659A07C3332}">
            <xm:f>計算シート!C72=1</xm:f>
            <x14:dxf>
              <border>
                <bottom/>
                <vertical/>
                <horizontal/>
              </border>
            </x14:dxf>
          </x14:cfRule>
          <xm:sqref>K19:L19</xm:sqref>
        </x14:conditionalFormatting>
        <x14:conditionalFormatting xmlns:xm="http://schemas.microsoft.com/office/excel/2006/main">
          <x14:cfRule type="expression" priority="220" id="{524DF34E-834F-4732-835D-922BD6D0BC14}">
            <xm:f>計算シート!E68=1</xm:f>
            <x14:dxf>
              <border>
                <bottom/>
                <vertical/>
                <horizontal/>
              </border>
            </x14:dxf>
          </x14:cfRule>
          <xm:sqref>N13:N14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7000000}">
          <x14:formula1>
            <xm:f>計算シート!$F$24:$F$28</xm:f>
          </x14:formula1>
          <xm:sqref>I15:J15</xm:sqref>
        </x14:dataValidation>
        <x14:dataValidation type="list" allowBlank="1" showInputMessage="1" showErrorMessage="1" xr:uid="{00000000-0002-0000-0100-000008000000}">
          <x14:formula1>
            <xm:f>計算シート!$F$24:$F$29</xm:f>
          </x14:formula1>
          <xm:sqref>I18:J18 I16:J16</xm:sqref>
        </x14:dataValidation>
        <x14:dataValidation type="list" allowBlank="1" showInputMessage="1" showErrorMessage="1" xr:uid="{00000000-0002-0000-0100-000009000000}">
          <x14:formula1>
            <xm:f>計算シート!$F$24:$F$25</xm:f>
          </x14:formula1>
          <xm:sqref>I17:J17</xm:sqref>
        </x14:dataValidation>
        <x14:dataValidation type="list" allowBlank="1" showInputMessage="1" showErrorMessage="1" xr:uid="{00000000-0002-0000-0100-00000A000000}">
          <x14:formula1>
            <xm:f>計算シート!$F$11:$F$13</xm:f>
          </x14:formula1>
          <xm:sqref>F24</xm:sqref>
        </x14:dataValidation>
        <x14:dataValidation type="list" allowBlank="1" showInputMessage="1" showErrorMessage="1" xr:uid="{00000000-0002-0000-0100-00000B000000}">
          <x14:formula1>
            <xm:f>計算シート!$F$8:$F$10</xm:f>
          </x14:formula1>
          <xm:sqref>F40</xm:sqref>
        </x14:dataValidation>
        <x14:dataValidation type="list" allowBlank="1" showInputMessage="1" showErrorMessage="1" xr:uid="{00000000-0002-0000-0100-00000C000000}">
          <x14:formula1>
            <xm:f>計算シート!$F$3:$F$4</xm:f>
          </x14:formula1>
          <xm:sqref>F26:F27 F36 F38</xm:sqref>
        </x14:dataValidation>
        <x14:dataValidation type="list" allowBlank="1" showInputMessage="1" showErrorMessage="1" xr:uid="{00000000-0002-0000-0100-00000D000000}">
          <x14:formula1>
            <xm:f>計算シート!$F$15:$F$22</xm:f>
          </x14:formula1>
          <xm:sqref>L10</xm:sqref>
        </x14:dataValidation>
        <x14:dataValidation type="list" allowBlank="1" showInputMessage="1" showErrorMessage="1" xr:uid="{00000000-0002-0000-0100-00000E000000}">
          <x14:formula1>
            <xm:f>前年レート!$N$12:$N$74</xm:f>
          </x14:formula1>
          <xm:sqref>L47 F43 F47 F30 L43 F28 L45 F45 F82 F84 F88 F90 F94 F96 F100 F102 F106 F108 F112 F114 F118 F120 F124 F126 F130 F132 L88 L90 L94 L96 L100 L102 L106 L108 L112 L114 L118 L120 L124 L126 L130 L132</xm:sqref>
        </x14:dataValidation>
        <x14:dataValidation type="list" allowBlank="1" showInputMessage="1" showErrorMessage="1" xr:uid="{00000000-0002-0000-0100-00000F000000}">
          <x14:formula1>
            <xm:f>計算シート!$F$5:$F$7</xm:f>
          </x14:formula1>
          <xm:sqref>F39 F25 L39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74"/>
  <sheetViews>
    <sheetView view="pageBreakPreview" zoomScaleNormal="100" zoomScaleSheetLayoutView="100" workbookViewId="0">
      <selection activeCell="H41" sqref="H41"/>
    </sheetView>
  </sheetViews>
  <sheetFormatPr defaultColWidth="9" defaultRowHeight="13.5"/>
  <cols>
    <col min="1" max="1" width="3.125" style="166" customWidth="1"/>
    <col min="2" max="2" width="34.625" style="166" customWidth="1"/>
    <col min="3" max="3" width="0.625" style="166" customWidth="1"/>
    <col min="4" max="4" width="16.625" style="166" customWidth="1"/>
    <col min="5" max="5" width="4.75" style="166" bestFit="1" customWidth="1"/>
    <col min="6" max="6" width="4.125" style="166" customWidth="1"/>
    <col min="7" max="7" width="2.5" style="166" customWidth="1"/>
    <col min="8" max="8" width="16.625" style="166" customWidth="1"/>
    <col min="9" max="9" width="4.75" style="166" bestFit="1" customWidth="1"/>
    <col min="10" max="10" width="0.625" style="166" customWidth="1"/>
    <col min="11" max="11" width="4.875" style="166" customWidth="1"/>
    <col min="12" max="21" width="9" style="166"/>
    <col min="22" max="22" width="4.25" style="166" customWidth="1"/>
    <col min="23" max="16384" width="9" style="166"/>
  </cols>
  <sheetData>
    <row r="1" spans="1:22">
      <c r="A1" s="610" t="s">
        <v>442</v>
      </c>
      <c r="B1" s="610"/>
      <c r="C1" s="610"/>
      <c r="D1" s="610"/>
      <c r="E1" s="610"/>
      <c r="F1" s="610"/>
      <c r="G1" s="610"/>
      <c r="H1" s="610"/>
      <c r="I1" s="610"/>
      <c r="K1" s="172"/>
      <c r="L1" s="610" t="s">
        <v>308</v>
      </c>
      <c r="M1" s="610"/>
      <c r="N1" s="610"/>
      <c r="O1" s="610"/>
      <c r="P1" s="610"/>
      <c r="Q1" s="610"/>
      <c r="R1" s="610"/>
      <c r="S1" s="610"/>
      <c r="T1" s="610"/>
      <c r="U1" s="610"/>
      <c r="V1" s="610"/>
    </row>
    <row r="2" spans="1:22" ht="6" customHeight="1">
      <c r="A2" s="173"/>
      <c r="B2" s="173"/>
      <c r="C2" s="173"/>
      <c r="D2" s="173"/>
      <c r="E2" s="173"/>
      <c r="F2" s="173"/>
      <c r="G2" s="173"/>
      <c r="H2" s="173"/>
      <c r="I2" s="173"/>
      <c r="K2" s="172"/>
    </row>
    <row r="3" spans="1:22">
      <c r="A3" s="174" t="s">
        <v>242</v>
      </c>
      <c r="C3" s="173"/>
      <c r="D3" s="173"/>
      <c r="E3" s="173"/>
      <c r="F3" s="173"/>
      <c r="G3" s="173"/>
      <c r="H3" s="173"/>
      <c r="I3" s="173"/>
      <c r="K3" s="172"/>
      <c r="L3" s="303" t="s">
        <v>487</v>
      </c>
      <c r="M3" s="148"/>
      <c r="N3" s="148"/>
      <c r="O3" s="148"/>
      <c r="P3" s="148"/>
      <c r="Q3" s="148"/>
      <c r="R3" s="148"/>
      <c r="S3" s="148"/>
      <c r="T3" s="148"/>
      <c r="U3" s="148"/>
      <c r="V3" s="148"/>
    </row>
    <row r="4" spans="1:22" ht="9.75" customHeight="1">
      <c r="A4" s="173"/>
      <c r="B4" s="174"/>
      <c r="C4" s="173"/>
      <c r="D4" s="173"/>
      <c r="E4" s="173"/>
      <c r="F4" s="173"/>
      <c r="G4" s="173"/>
      <c r="H4" s="173"/>
      <c r="I4" s="173"/>
      <c r="K4" s="172"/>
      <c r="L4" s="643" t="s">
        <v>486</v>
      </c>
      <c r="M4" s="644"/>
      <c r="N4" s="644"/>
      <c r="O4" s="644"/>
      <c r="P4" s="644"/>
      <c r="Q4" s="644"/>
      <c r="R4" s="644"/>
      <c r="S4" s="644"/>
      <c r="T4" s="644"/>
      <c r="U4" s="644"/>
      <c r="V4" s="644"/>
    </row>
    <row r="5" spans="1:22" ht="13.5" customHeight="1">
      <c r="A5" s="173"/>
      <c r="B5" s="636" t="s">
        <v>365</v>
      </c>
      <c r="C5" s="636"/>
      <c r="D5" s="636"/>
      <c r="E5" s="636"/>
      <c r="F5" s="636"/>
      <c r="G5" s="636"/>
      <c r="H5" s="636"/>
      <c r="I5" s="636"/>
      <c r="K5" s="172"/>
      <c r="L5" s="643"/>
      <c r="M5" s="644"/>
      <c r="N5" s="644"/>
      <c r="O5" s="644"/>
      <c r="P5" s="644"/>
      <c r="Q5" s="644"/>
      <c r="R5" s="644"/>
      <c r="S5" s="644"/>
      <c r="T5" s="644"/>
      <c r="U5" s="644"/>
      <c r="V5" s="644"/>
    </row>
    <row r="6" spans="1:22">
      <c r="A6" s="173"/>
      <c r="B6" s="636"/>
      <c r="C6" s="636"/>
      <c r="D6" s="636"/>
      <c r="E6" s="636"/>
      <c r="F6" s="636"/>
      <c r="G6" s="636"/>
      <c r="H6" s="636"/>
      <c r="I6" s="636"/>
      <c r="K6" s="172"/>
      <c r="L6" s="643"/>
      <c r="M6" s="644"/>
      <c r="N6" s="644"/>
      <c r="O6" s="644"/>
      <c r="P6" s="644"/>
      <c r="Q6" s="644"/>
      <c r="R6" s="644"/>
      <c r="S6" s="644"/>
      <c r="T6" s="644"/>
      <c r="U6" s="644"/>
      <c r="V6" s="644"/>
    </row>
    <row r="7" spans="1:22" ht="13.5" customHeight="1">
      <c r="A7" s="173"/>
      <c r="B7" s="175"/>
      <c r="C7" s="175"/>
      <c r="D7" s="175"/>
      <c r="E7" s="175"/>
      <c r="F7" s="175"/>
      <c r="G7" s="175"/>
      <c r="H7" s="175"/>
      <c r="I7" s="175"/>
      <c r="K7" s="172"/>
      <c r="L7" s="643" t="s">
        <v>340</v>
      </c>
      <c r="M7" s="644"/>
      <c r="N7" s="644"/>
      <c r="O7" s="644"/>
      <c r="P7" s="644"/>
      <c r="Q7" s="644"/>
      <c r="R7" s="644"/>
      <c r="S7" s="644"/>
      <c r="T7" s="644"/>
      <c r="U7" s="644"/>
      <c r="V7" s="644"/>
    </row>
    <row r="8" spans="1:22" ht="14.25" thickBot="1">
      <c r="A8" s="173"/>
      <c r="B8" s="175"/>
      <c r="C8" s="175"/>
      <c r="D8" s="175"/>
      <c r="E8" s="628" t="s">
        <v>331</v>
      </c>
      <c r="F8" s="628"/>
      <c r="G8" s="628"/>
      <c r="H8" s="176">
        <v>44044</v>
      </c>
      <c r="I8" s="175"/>
      <c r="K8" s="172"/>
      <c r="L8" s="643"/>
      <c r="M8" s="644"/>
      <c r="N8" s="644"/>
      <c r="O8" s="644"/>
      <c r="P8" s="644"/>
      <c r="Q8" s="644"/>
      <c r="R8" s="644"/>
      <c r="S8" s="644"/>
      <c r="T8" s="644"/>
      <c r="U8" s="644"/>
      <c r="V8" s="644"/>
    </row>
    <row r="9" spans="1:22" ht="13.5" customHeight="1">
      <c r="A9" s="173"/>
      <c r="B9" s="173"/>
      <c r="C9" s="173"/>
      <c r="D9" s="173"/>
      <c r="H9" s="177" t="s">
        <v>330</v>
      </c>
      <c r="I9" s="173"/>
      <c r="K9" s="172"/>
      <c r="L9" s="643" t="s">
        <v>364</v>
      </c>
      <c r="M9" s="644"/>
      <c r="N9" s="644"/>
      <c r="O9" s="644"/>
      <c r="P9" s="644"/>
      <c r="Q9" s="644"/>
      <c r="R9" s="644"/>
      <c r="S9" s="644"/>
      <c r="T9" s="644"/>
      <c r="U9" s="644"/>
      <c r="V9" s="644"/>
    </row>
    <row r="10" spans="1:22" ht="13.5" customHeight="1" thickBot="1">
      <c r="A10" s="173"/>
      <c r="B10" s="178" t="s">
        <v>349</v>
      </c>
      <c r="C10" s="173"/>
      <c r="D10" s="179">
        <v>2020</v>
      </c>
      <c r="E10" s="628" t="s">
        <v>346</v>
      </c>
      <c r="F10" s="628"/>
      <c r="G10" s="628"/>
      <c r="H10" s="180" t="s">
        <v>348</v>
      </c>
      <c r="I10" s="173"/>
      <c r="K10" s="172"/>
      <c r="L10" s="643"/>
      <c r="M10" s="644"/>
      <c r="N10" s="644"/>
      <c r="O10" s="644"/>
      <c r="P10" s="644"/>
      <c r="Q10" s="644"/>
      <c r="R10" s="644"/>
      <c r="S10" s="644"/>
      <c r="T10" s="644"/>
      <c r="U10" s="644"/>
      <c r="V10" s="644"/>
    </row>
    <row r="11" spans="1:22" ht="14.25" customHeight="1" thickBot="1">
      <c r="A11" s="173"/>
      <c r="B11" s="181" t="s">
        <v>366</v>
      </c>
      <c r="C11" s="182"/>
      <c r="D11" s="170"/>
      <c r="H11" s="171"/>
      <c r="I11" s="173"/>
      <c r="K11" s="172"/>
      <c r="L11" s="643"/>
      <c r="M11" s="644"/>
      <c r="N11" s="644"/>
      <c r="O11" s="644"/>
      <c r="P11" s="644"/>
      <c r="Q11" s="644"/>
      <c r="R11" s="644"/>
      <c r="S11" s="644"/>
      <c r="T11" s="644"/>
      <c r="U11" s="644"/>
      <c r="V11" s="644"/>
    </row>
    <row r="12" spans="1:22" ht="14.25" customHeight="1" thickBot="1">
      <c r="B12" s="181" t="s">
        <v>367</v>
      </c>
      <c r="C12" s="182"/>
      <c r="D12" s="182" t="s">
        <v>315</v>
      </c>
      <c r="E12" s="645" t="s">
        <v>332</v>
      </c>
      <c r="F12" s="645"/>
      <c r="G12" s="645"/>
      <c r="H12" s="176">
        <v>37072</v>
      </c>
      <c r="K12" s="172"/>
      <c r="L12" s="643" t="s">
        <v>361</v>
      </c>
      <c r="M12" s="644"/>
      <c r="N12" s="644"/>
      <c r="O12" s="644"/>
      <c r="P12" s="644"/>
      <c r="Q12" s="644"/>
      <c r="R12" s="644"/>
      <c r="S12" s="644"/>
      <c r="T12" s="644"/>
      <c r="U12" s="644"/>
      <c r="V12" s="644"/>
    </row>
    <row r="13" spans="1:22" ht="14.25" customHeight="1" thickBot="1">
      <c r="B13" s="178" t="s">
        <v>221</v>
      </c>
      <c r="C13" s="150"/>
      <c r="D13" s="150" t="s">
        <v>316</v>
      </c>
      <c r="H13" s="177" t="s">
        <v>330</v>
      </c>
      <c r="K13" s="172"/>
      <c r="L13" s="643"/>
      <c r="M13" s="644"/>
      <c r="N13" s="644"/>
      <c r="O13" s="644"/>
      <c r="P13" s="644"/>
      <c r="Q13" s="644"/>
      <c r="R13" s="644"/>
      <c r="S13" s="644"/>
      <c r="T13" s="644"/>
      <c r="U13" s="644"/>
      <c r="V13" s="644"/>
    </row>
    <row r="14" spans="1:22" ht="14.25" customHeight="1" thickBot="1">
      <c r="B14" s="178" t="s">
        <v>222</v>
      </c>
      <c r="C14" s="150"/>
      <c r="D14" s="150" t="s">
        <v>317</v>
      </c>
      <c r="E14" s="39"/>
      <c r="F14" s="39"/>
      <c r="G14" s="39"/>
      <c r="H14" s="39"/>
      <c r="K14" s="172"/>
      <c r="L14" s="643"/>
      <c r="M14" s="644"/>
      <c r="N14" s="644"/>
      <c r="O14" s="644"/>
      <c r="P14" s="644"/>
      <c r="Q14" s="644"/>
      <c r="R14" s="644"/>
      <c r="S14" s="644"/>
      <c r="T14" s="644"/>
      <c r="U14" s="644"/>
      <c r="V14" s="644"/>
    </row>
    <row r="15" spans="1:22">
      <c r="B15" s="174" t="str">
        <f>"※ 以下、収入（所得）は【"&amp;IF(計算シート!C50=1,計算シート!C48,計算シート!C49)&amp;"年1月1日～12月31日】のものを入力してください。"</f>
        <v>※ 以下、収入（所得）は【2025年1月1日～12月31日】のものを入力してください。</v>
      </c>
      <c r="E15" s="39"/>
      <c r="F15" s="39"/>
      <c r="G15" s="39"/>
      <c r="H15" s="39"/>
      <c r="K15" s="172"/>
      <c r="L15" s="643" t="s">
        <v>309</v>
      </c>
      <c r="M15" s="644"/>
      <c r="N15" s="644"/>
      <c r="O15" s="644"/>
      <c r="P15" s="644"/>
      <c r="Q15" s="644"/>
      <c r="R15" s="644"/>
      <c r="S15" s="644"/>
      <c r="T15" s="644"/>
      <c r="U15" s="644"/>
      <c r="V15" s="644"/>
    </row>
    <row r="16" spans="1:22">
      <c r="B16" s="174" t="str">
        <f>"    扶養等の情報は【"&amp;IF(計算シート!C50=1,計算シート!C48,計算シート!C49)&amp;"年12月31日】現在のものを入力してください。"</f>
        <v xml:space="preserve">    扶養等の情報は【2025年12月31日】現在のものを入力してください。</v>
      </c>
      <c r="E16" s="39"/>
      <c r="F16" s="39"/>
      <c r="G16" s="39"/>
      <c r="H16" s="39"/>
      <c r="K16" s="172"/>
      <c r="L16" s="643"/>
      <c r="M16" s="644"/>
      <c r="N16" s="644"/>
      <c r="O16" s="644"/>
      <c r="P16" s="644"/>
      <c r="Q16" s="644"/>
      <c r="R16" s="644"/>
      <c r="S16" s="644"/>
      <c r="T16" s="644"/>
      <c r="U16" s="644"/>
      <c r="V16" s="644"/>
    </row>
    <row r="17" spans="1:22" ht="7.5" customHeight="1" thickBot="1">
      <c r="A17" s="183"/>
      <c r="B17" s="183"/>
      <c r="C17" s="183"/>
      <c r="D17" s="183"/>
      <c r="E17" s="183"/>
      <c r="K17" s="172"/>
      <c r="L17" s="643"/>
      <c r="M17" s="644"/>
      <c r="N17" s="644"/>
      <c r="O17" s="644"/>
      <c r="P17" s="644"/>
      <c r="Q17" s="644"/>
      <c r="R17" s="644"/>
      <c r="S17" s="644"/>
      <c r="T17" s="644"/>
      <c r="U17" s="644"/>
      <c r="V17" s="644"/>
    </row>
    <row r="18" spans="1:22" s="187" customFormat="1" ht="15.6" customHeight="1" thickTop="1">
      <c r="A18" s="184" t="s">
        <v>360</v>
      </c>
      <c r="B18" s="185"/>
      <c r="C18" s="185"/>
      <c r="D18" s="185"/>
      <c r="E18" s="186"/>
      <c r="G18" s="188" t="s">
        <v>318</v>
      </c>
      <c r="H18" s="189"/>
      <c r="I18" s="186"/>
      <c r="K18" s="190"/>
      <c r="L18" s="643"/>
      <c r="M18" s="644"/>
      <c r="N18" s="644"/>
      <c r="O18" s="644"/>
      <c r="P18" s="644"/>
      <c r="Q18" s="644"/>
      <c r="R18" s="644"/>
      <c r="S18" s="644"/>
      <c r="T18" s="644"/>
      <c r="U18" s="644"/>
      <c r="V18" s="644"/>
    </row>
    <row r="19" spans="1:22" s="187" customFormat="1" ht="12.95" customHeight="1" thickBot="1">
      <c r="A19" s="191" t="s">
        <v>261</v>
      </c>
      <c r="B19" s="192" t="s">
        <v>352</v>
      </c>
      <c r="C19" s="300"/>
      <c r="D19" s="301">
        <f>H12</f>
        <v>37072</v>
      </c>
      <c r="E19" s="196"/>
      <c r="G19" s="195" t="s">
        <v>319</v>
      </c>
      <c r="H19" s="185"/>
      <c r="I19" s="196"/>
      <c r="K19" s="190"/>
      <c r="L19" s="302" t="s">
        <v>488</v>
      </c>
      <c r="M19" s="162"/>
      <c r="N19" s="162"/>
      <c r="O19" s="162"/>
      <c r="P19" s="162"/>
      <c r="Q19" s="162"/>
      <c r="R19" s="162"/>
      <c r="S19" s="162"/>
      <c r="T19" s="162"/>
      <c r="U19" s="162"/>
      <c r="V19" s="162"/>
    </row>
    <row r="20" spans="1:22" s="187" customFormat="1" ht="12.95" customHeight="1" thickBot="1">
      <c r="A20" s="197" t="s">
        <v>262</v>
      </c>
      <c r="B20" s="198" t="s">
        <v>238</v>
      </c>
      <c r="D20" s="199" t="s">
        <v>38</v>
      </c>
      <c r="E20" s="196"/>
      <c r="G20" s="195" t="s">
        <v>320</v>
      </c>
      <c r="H20" s="185"/>
      <c r="I20" s="196"/>
      <c r="K20" s="190"/>
      <c r="L20" s="211" t="s">
        <v>489</v>
      </c>
      <c r="M20" s="162"/>
      <c r="N20" s="162"/>
      <c r="O20" s="162"/>
      <c r="P20" s="162"/>
      <c r="Q20" s="162"/>
      <c r="R20" s="162"/>
      <c r="S20" s="162"/>
      <c r="T20" s="162"/>
      <c r="U20" s="162"/>
      <c r="V20" s="162"/>
    </row>
    <row r="21" spans="1:22" s="187" customFormat="1" ht="12.95" customHeight="1" thickBot="1">
      <c r="A21" s="197" t="s">
        <v>263</v>
      </c>
      <c r="B21" s="187" t="s">
        <v>239</v>
      </c>
      <c r="C21" s="200"/>
      <c r="D21" s="201" t="s">
        <v>211</v>
      </c>
      <c r="E21" s="196"/>
      <c r="G21" s="195" t="s">
        <v>321</v>
      </c>
      <c r="H21" s="185"/>
      <c r="I21" s="196"/>
      <c r="K21" s="190"/>
      <c r="L21" s="302" t="s">
        <v>490</v>
      </c>
      <c r="M21" s="162"/>
      <c r="N21" s="162"/>
      <c r="O21" s="162"/>
      <c r="P21" s="162"/>
      <c r="Q21" s="162"/>
      <c r="R21" s="162"/>
      <c r="S21" s="162"/>
      <c r="T21" s="162"/>
      <c r="U21" s="162"/>
      <c r="V21" s="162"/>
    </row>
    <row r="22" spans="1:22" s="187" customFormat="1" ht="12.95" customHeight="1" thickBot="1">
      <c r="A22" s="197" t="s">
        <v>264</v>
      </c>
      <c r="B22" s="202" t="s">
        <v>240</v>
      </c>
      <c r="C22" s="200"/>
      <c r="D22" s="203" t="s">
        <v>42</v>
      </c>
      <c r="E22" s="196"/>
      <c r="G22" s="204">
        <v>1</v>
      </c>
      <c r="H22" s="205" t="s">
        <v>322</v>
      </c>
      <c r="I22" s="206" t="s">
        <v>323</v>
      </c>
      <c r="K22" s="190"/>
      <c r="L22" s="302" t="s">
        <v>495</v>
      </c>
      <c r="M22" s="162"/>
      <c r="N22" s="162"/>
      <c r="O22" s="162"/>
      <c r="P22" s="162"/>
      <c r="Q22" s="162"/>
      <c r="R22" s="162"/>
      <c r="S22" s="162"/>
      <c r="T22" s="162"/>
      <c r="U22" s="162"/>
      <c r="V22" s="162"/>
    </row>
    <row r="23" spans="1:22" s="187" customFormat="1" ht="12.95" customHeight="1" thickBot="1">
      <c r="A23" s="197" t="s">
        <v>265</v>
      </c>
      <c r="B23" s="207" t="s">
        <v>368</v>
      </c>
      <c r="C23" s="208"/>
      <c r="D23" s="199" t="s">
        <v>40</v>
      </c>
      <c r="E23" s="196"/>
      <c r="G23" s="204">
        <v>2</v>
      </c>
      <c r="H23" s="209" t="s">
        <v>329</v>
      </c>
      <c r="I23" s="206" t="s">
        <v>445</v>
      </c>
      <c r="K23" s="190"/>
      <c r="L23" s="302" t="s">
        <v>491</v>
      </c>
      <c r="M23" s="162"/>
      <c r="N23" s="162"/>
      <c r="O23" s="162"/>
      <c r="P23" s="162"/>
      <c r="Q23" s="162"/>
      <c r="R23" s="162"/>
      <c r="S23" s="162"/>
      <c r="T23" s="162"/>
      <c r="U23" s="162"/>
      <c r="V23" s="162"/>
    </row>
    <row r="24" spans="1:22" s="187" customFormat="1" ht="12.95" customHeight="1" thickBot="1">
      <c r="A24" s="197" t="s">
        <v>266</v>
      </c>
      <c r="B24" s="192" t="s">
        <v>225</v>
      </c>
      <c r="C24" s="208"/>
      <c r="D24" s="203" t="s">
        <v>49</v>
      </c>
      <c r="E24" s="196"/>
      <c r="G24" s="204">
        <v>3</v>
      </c>
      <c r="H24" s="205" t="s">
        <v>328</v>
      </c>
      <c r="I24" s="206" t="s">
        <v>445</v>
      </c>
      <c r="K24" s="190"/>
      <c r="L24" s="643" t="s">
        <v>496</v>
      </c>
      <c r="M24" s="644"/>
      <c r="N24" s="644"/>
      <c r="O24" s="644"/>
      <c r="P24" s="644"/>
      <c r="Q24" s="644"/>
      <c r="R24" s="644"/>
      <c r="S24" s="644"/>
      <c r="T24" s="644"/>
      <c r="U24" s="644"/>
      <c r="V24" s="644"/>
    </row>
    <row r="25" spans="1:22" s="187" customFormat="1" ht="12.95" customHeight="1" thickBot="1">
      <c r="A25" s="197" t="s">
        <v>267</v>
      </c>
      <c r="B25" s="187" t="s">
        <v>226</v>
      </c>
      <c r="D25" s="210">
        <v>0</v>
      </c>
      <c r="E25" s="194" t="s">
        <v>446</v>
      </c>
      <c r="G25" s="204">
        <v>4</v>
      </c>
      <c r="H25" s="205" t="s">
        <v>327</v>
      </c>
      <c r="I25" s="206" t="s">
        <v>447</v>
      </c>
      <c r="K25" s="190"/>
      <c r="L25" s="643"/>
      <c r="M25" s="644"/>
      <c r="N25" s="644"/>
      <c r="O25" s="644"/>
      <c r="P25" s="644"/>
      <c r="Q25" s="644"/>
      <c r="R25" s="644"/>
      <c r="S25" s="644"/>
      <c r="T25" s="644"/>
      <c r="U25" s="644"/>
      <c r="V25" s="644"/>
    </row>
    <row r="26" spans="1:22" s="187" customFormat="1" ht="12.95" customHeight="1" thickBot="1">
      <c r="A26" s="197" t="s">
        <v>268</v>
      </c>
      <c r="B26" s="212" t="s">
        <v>250</v>
      </c>
      <c r="C26" s="208"/>
      <c r="D26" s="203" t="s">
        <v>49</v>
      </c>
      <c r="E26" s="196"/>
      <c r="G26" s="204">
        <v>5</v>
      </c>
      <c r="H26" s="205" t="s">
        <v>326</v>
      </c>
      <c r="I26" s="206" t="s">
        <v>445</v>
      </c>
      <c r="K26" s="190"/>
      <c r="L26" s="643"/>
      <c r="M26" s="644"/>
      <c r="N26" s="644"/>
      <c r="O26" s="644"/>
      <c r="P26" s="644"/>
      <c r="Q26" s="644"/>
      <c r="R26" s="644"/>
      <c r="S26" s="644"/>
      <c r="T26" s="644"/>
      <c r="U26" s="644"/>
      <c r="V26" s="644"/>
    </row>
    <row r="27" spans="1:22" s="187" customFormat="1" ht="12.95" customHeight="1" thickBot="1">
      <c r="A27" s="213" t="s">
        <v>269</v>
      </c>
      <c r="B27" s="214" t="s">
        <v>251</v>
      </c>
      <c r="C27" s="215"/>
      <c r="D27" s="210">
        <v>0</v>
      </c>
      <c r="E27" s="216" t="s">
        <v>446</v>
      </c>
      <c r="G27" s="217"/>
      <c r="H27" s="218"/>
      <c r="I27" s="219"/>
      <c r="K27" s="190"/>
      <c r="L27" s="643"/>
      <c r="M27" s="644"/>
      <c r="N27" s="644"/>
      <c r="O27" s="644"/>
      <c r="P27" s="644"/>
      <c r="Q27" s="644"/>
      <c r="R27" s="644"/>
      <c r="S27" s="644"/>
      <c r="T27" s="644"/>
      <c r="U27" s="644"/>
      <c r="V27" s="644"/>
    </row>
    <row r="28" spans="1:22" s="187" customFormat="1" ht="3" customHeight="1" thickTop="1">
      <c r="K28" s="190"/>
      <c r="L28" s="220"/>
      <c r="M28" s="148"/>
      <c r="N28" s="148"/>
      <c r="O28" s="148"/>
      <c r="P28" s="148"/>
      <c r="Q28" s="148"/>
      <c r="R28" s="148"/>
      <c r="S28" s="148"/>
      <c r="T28" s="148"/>
      <c r="U28" s="148"/>
      <c r="V28" s="148"/>
    </row>
    <row r="29" spans="1:22" s="187" customFormat="1" ht="14.1" customHeight="1" thickBot="1">
      <c r="A29" s="221"/>
      <c r="B29" s="221"/>
      <c r="C29" s="222"/>
      <c r="D29" s="223" t="s">
        <v>38</v>
      </c>
      <c r="E29" s="224"/>
      <c r="F29" s="221"/>
      <c r="G29" s="222"/>
      <c r="H29" s="225" t="s">
        <v>448</v>
      </c>
      <c r="I29" s="226"/>
      <c r="J29" s="227"/>
      <c r="K29" s="190"/>
      <c r="L29" s="220"/>
      <c r="M29" s="220"/>
      <c r="N29" s="148"/>
      <c r="O29" s="148"/>
      <c r="P29" s="148"/>
      <c r="Q29" s="148"/>
      <c r="R29" s="148"/>
      <c r="S29" s="148"/>
      <c r="T29" s="148"/>
      <c r="U29" s="148"/>
      <c r="V29" s="148"/>
    </row>
    <row r="30" spans="1:22" s="187" customFormat="1" ht="15.6" customHeight="1" thickTop="1" thickBot="1">
      <c r="A30" s="188" t="s">
        <v>227</v>
      </c>
      <c r="B30" s="185"/>
      <c r="C30" s="228"/>
      <c r="D30" s="185"/>
      <c r="E30" s="229"/>
      <c r="F30" s="185"/>
      <c r="G30" s="228"/>
      <c r="H30" s="230" t="s">
        <v>447</v>
      </c>
      <c r="I30" s="186"/>
      <c r="J30" s="231"/>
      <c r="K30" s="190"/>
      <c r="M30" s="220"/>
      <c r="N30" s="148"/>
      <c r="O30" s="148"/>
      <c r="P30" s="148"/>
      <c r="Q30" s="148"/>
      <c r="R30" s="148"/>
      <c r="S30" s="148"/>
      <c r="T30" s="148"/>
      <c r="U30" s="148"/>
      <c r="V30" s="148"/>
    </row>
    <row r="31" spans="1:22" s="187" customFormat="1" ht="12.95" customHeight="1" thickBot="1">
      <c r="A31" s="232" t="s">
        <v>270</v>
      </c>
      <c r="B31" s="192" t="s">
        <v>351</v>
      </c>
      <c r="C31" s="233"/>
      <c r="D31" s="193">
        <v>22037</v>
      </c>
      <c r="E31" s="231"/>
      <c r="F31" s="234" t="s">
        <v>276</v>
      </c>
      <c r="G31" s="228"/>
      <c r="H31" s="193">
        <v>22037</v>
      </c>
      <c r="I31" s="194"/>
      <c r="J31" s="231"/>
      <c r="K31" s="190"/>
      <c r="L31" s="220"/>
      <c r="M31" s="220"/>
      <c r="N31" s="148"/>
      <c r="O31" s="148"/>
      <c r="P31" s="148"/>
      <c r="Q31" s="148"/>
      <c r="R31" s="148"/>
      <c r="S31" s="148"/>
      <c r="T31" s="148"/>
      <c r="U31" s="148"/>
      <c r="V31" s="148"/>
    </row>
    <row r="32" spans="1:22" s="187" customFormat="1" ht="12.95" customHeight="1" thickBot="1">
      <c r="A32" s="235" t="s">
        <v>271</v>
      </c>
      <c r="B32" s="192" t="s">
        <v>254</v>
      </c>
      <c r="C32" s="233"/>
      <c r="D32" s="199" t="s">
        <v>40</v>
      </c>
      <c r="E32" s="229"/>
      <c r="F32" s="236"/>
      <c r="G32" s="228"/>
      <c r="H32" s="237"/>
      <c r="I32" s="196"/>
      <c r="J32" s="231"/>
      <c r="K32" s="190"/>
      <c r="L32" s="643" t="s">
        <v>362</v>
      </c>
      <c r="M32" s="644"/>
      <c r="N32" s="644"/>
      <c r="O32" s="644"/>
      <c r="P32" s="644"/>
      <c r="Q32" s="644"/>
      <c r="R32" s="644"/>
      <c r="S32" s="644"/>
      <c r="T32" s="644"/>
      <c r="U32" s="644"/>
      <c r="V32" s="644"/>
    </row>
    <row r="33" spans="1:22" s="187" customFormat="1" ht="12.95" customHeight="1" thickBot="1">
      <c r="A33" s="235" t="s">
        <v>272</v>
      </c>
      <c r="B33" s="192" t="s">
        <v>369</v>
      </c>
      <c r="C33" s="233"/>
      <c r="D33" s="199" t="s">
        <v>40</v>
      </c>
      <c r="E33" s="229"/>
      <c r="F33" s="236"/>
      <c r="G33" s="228"/>
      <c r="H33" s="237"/>
      <c r="I33" s="196"/>
      <c r="J33" s="231"/>
      <c r="K33" s="190"/>
      <c r="L33" s="643"/>
      <c r="M33" s="644"/>
      <c r="N33" s="644"/>
      <c r="O33" s="644"/>
      <c r="P33" s="644"/>
      <c r="Q33" s="644"/>
      <c r="R33" s="644"/>
      <c r="S33" s="644"/>
      <c r="T33" s="644"/>
      <c r="U33" s="644"/>
      <c r="V33" s="644"/>
    </row>
    <row r="34" spans="1:22" s="187" customFormat="1" ht="12.95" customHeight="1" thickBot="1">
      <c r="A34" s="235" t="s">
        <v>273</v>
      </c>
      <c r="B34" s="198" t="s">
        <v>257</v>
      </c>
      <c r="C34" s="238"/>
      <c r="D34" s="199" t="s">
        <v>40</v>
      </c>
      <c r="E34" s="229"/>
      <c r="F34" s="236"/>
      <c r="G34" s="228"/>
      <c r="H34" s="185"/>
      <c r="I34" s="196"/>
      <c r="J34" s="231"/>
      <c r="K34" s="190"/>
      <c r="L34" s="643"/>
      <c r="M34" s="644"/>
      <c r="N34" s="644"/>
      <c r="O34" s="644"/>
      <c r="P34" s="644"/>
      <c r="Q34" s="644"/>
      <c r="R34" s="644"/>
      <c r="S34" s="644"/>
      <c r="T34" s="644"/>
      <c r="U34" s="644"/>
      <c r="V34" s="644"/>
    </row>
    <row r="35" spans="1:22" s="187" customFormat="1" ht="12.95" customHeight="1" thickBot="1">
      <c r="A35" s="235" t="s">
        <v>274</v>
      </c>
      <c r="B35" s="192" t="s">
        <v>239</v>
      </c>
      <c r="C35" s="233"/>
      <c r="D35" s="239" t="s">
        <v>44</v>
      </c>
      <c r="E35" s="229"/>
      <c r="F35" s="240" t="s">
        <v>277</v>
      </c>
      <c r="G35" s="228"/>
      <c r="H35" s="239" t="s">
        <v>44</v>
      </c>
      <c r="I35" s="196"/>
      <c r="J35" s="231"/>
      <c r="K35" s="190"/>
      <c r="L35" s="220" t="s">
        <v>313</v>
      </c>
      <c r="M35" s="220"/>
      <c r="N35" s="220"/>
      <c r="O35" s="220"/>
      <c r="P35" s="220"/>
      <c r="Q35" s="220"/>
      <c r="R35" s="220"/>
      <c r="S35" s="220"/>
      <c r="T35" s="220"/>
      <c r="U35" s="220"/>
      <c r="V35" s="220"/>
    </row>
    <row r="36" spans="1:22" s="187" customFormat="1" ht="12.95" customHeight="1" thickBot="1">
      <c r="A36" s="241" t="s">
        <v>275</v>
      </c>
      <c r="B36" s="214" t="str">
        <f>IF(計算シート!C51=0,"寡婦または寡夫ですか","ひとり親ですか")</f>
        <v>ひとり親ですか</v>
      </c>
      <c r="C36" s="242"/>
      <c r="D36" s="239" t="s">
        <v>46</v>
      </c>
      <c r="E36" s="243"/>
      <c r="F36" s="218"/>
      <c r="G36" s="244"/>
      <c r="H36" s="245"/>
      <c r="I36" s="219"/>
      <c r="J36" s="231"/>
      <c r="K36" s="190"/>
      <c r="L36" s="220" t="s">
        <v>497</v>
      </c>
      <c r="M36" s="220"/>
      <c r="N36" s="220"/>
      <c r="O36" s="220"/>
      <c r="P36" s="220"/>
      <c r="Q36" s="220"/>
      <c r="R36" s="220"/>
      <c r="S36" s="220"/>
      <c r="T36" s="220"/>
      <c r="U36" s="220"/>
      <c r="V36" s="220"/>
    </row>
    <row r="37" spans="1:22" s="253" customFormat="1" ht="11.25" customHeight="1" thickTop="1" thickBot="1">
      <c r="A37" s="246" t="s">
        <v>451</v>
      </c>
      <c r="B37" s="247"/>
      <c r="C37" s="248"/>
      <c r="D37" s="247"/>
      <c r="E37" s="249"/>
      <c r="F37" s="247"/>
      <c r="G37" s="248"/>
      <c r="H37" s="250"/>
      <c r="I37" s="247"/>
      <c r="J37" s="251"/>
      <c r="K37" s="252"/>
      <c r="L37" s="220"/>
      <c r="M37" s="220"/>
      <c r="N37" s="220"/>
      <c r="O37" s="220"/>
      <c r="P37" s="220"/>
      <c r="Q37" s="220"/>
      <c r="R37" s="220"/>
      <c r="S37" s="220"/>
      <c r="T37" s="220"/>
      <c r="U37" s="220"/>
      <c r="V37" s="220"/>
    </row>
    <row r="38" spans="1:22" s="187" customFormat="1" ht="15.6" customHeight="1" thickTop="1" thickBot="1">
      <c r="A38" s="188" t="s">
        <v>228</v>
      </c>
      <c r="B38" s="185"/>
      <c r="C38" s="228"/>
      <c r="D38" s="185"/>
      <c r="E38" s="229"/>
      <c r="F38" s="185"/>
      <c r="G38" s="228"/>
      <c r="H38" s="230" t="s">
        <v>447</v>
      </c>
      <c r="I38" s="186"/>
      <c r="J38" s="231"/>
      <c r="K38" s="190"/>
      <c r="L38" s="643" t="s">
        <v>370</v>
      </c>
      <c r="M38" s="644"/>
      <c r="N38" s="644"/>
      <c r="O38" s="644"/>
      <c r="P38" s="644"/>
      <c r="Q38" s="644"/>
      <c r="R38" s="644"/>
      <c r="S38" s="644"/>
      <c r="T38" s="644"/>
      <c r="U38" s="644"/>
      <c r="V38" s="644"/>
    </row>
    <row r="39" spans="1:22" s="187" customFormat="1" ht="12.95" customHeight="1" thickBot="1">
      <c r="A39" s="232" t="s">
        <v>278</v>
      </c>
      <c r="B39" s="192" t="s">
        <v>217</v>
      </c>
      <c r="C39" s="233"/>
      <c r="D39" s="203" t="s">
        <v>310</v>
      </c>
      <c r="E39" s="229"/>
      <c r="F39" s="234" t="s">
        <v>284</v>
      </c>
      <c r="G39" s="228"/>
      <c r="H39" s="203" t="s">
        <v>49</v>
      </c>
      <c r="I39" s="196"/>
      <c r="J39" s="231"/>
      <c r="K39" s="190"/>
      <c r="L39" s="643"/>
      <c r="M39" s="644"/>
      <c r="N39" s="644"/>
      <c r="O39" s="644"/>
      <c r="P39" s="644"/>
      <c r="Q39" s="644"/>
      <c r="R39" s="644"/>
      <c r="S39" s="644"/>
      <c r="T39" s="644"/>
      <c r="U39" s="644"/>
      <c r="V39" s="644"/>
    </row>
    <row r="40" spans="1:22" s="187" customFormat="1" ht="12.95" customHeight="1" thickBot="1">
      <c r="A40" s="235" t="s">
        <v>279</v>
      </c>
      <c r="B40" s="192" t="s">
        <v>219</v>
      </c>
      <c r="C40" s="233"/>
      <c r="D40" s="210">
        <v>42000</v>
      </c>
      <c r="E40" s="231" t="s">
        <v>450</v>
      </c>
      <c r="F40" s="240" t="s">
        <v>285</v>
      </c>
      <c r="G40" s="228"/>
      <c r="H40" s="210">
        <v>2700000</v>
      </c>
      <c r="I40" s="194" t="s">
        <v>446</v>
      </c>
      <c r="J40" s="231"/>
      <c r="K40" s="190"/>
      <c r="L40" s="643"/>
      <c r="M40" s="644"/>
      <c r="N40" s="644"/>
      <c r="O40" s="644"/>
      <c r="P40" s="644"/>
      <c r="Q40" s="644"/>
      <c r="R40" s="644"/>
      <c r="S40" s="644"/>
      <c r="T40" s="644"/>
      <c r="U40" s="644"/>
      <c r="V40" s="644"/>
    </row>
    <row r="41" spans="1:22" s="187" customFormat="1" ht="12.95" customHeight="1" thickBot="1">
      <c r="A41" s="235" t="s">
        <v>280</v>
      </c>
      <c r="B41" s="192" t="s">
        <v>218</v>
      </c>
      <c r="C41" s="233"/>
      <c r="D41" s="203" t="s">
        <v>310</v>
      </c>
      <c r="E41" s="229"/>
      <c r="F41" s="240" t="s">
        <v>286</v>
      </c>
      <c r="G41" s="228"/>
      <c r="H41" s="203" t="s">
        <v>49</v>
      </c>
      <c r="I41" s="196"/>
      <c r="J41" s="231"/>
      <c r="K41" s="190"/>
      <c r="L41" s="643"/>
      <c r="M41" s="644"/>
      <c r="N41" s="644"/>
      <c r="O41" s="644"/>
      <c r="P41" s="644"/>
      <c r="Q41" s="644"/>
      <c r="R41" s="644"/>
      <c r="S41" s="644"/>
      <c r="T41" s="644"/>
      <c r="U41" s="644"/>
      <c r="V41" s="644"/>
    </row>
    <row r="42" spans="1:22" s="187" customFormat="1" ht="12.95" customHeight="1" thickBot="1">
      <c r="A42" s="235" t="s">
        <v>281</v>
      </c>
      <c r="B42" s="192" t="s">
        <v>220</v>
      </c>
      <c r="C42" s="233"/>
      <c r="D42" s="210">
        <v>0</v>
      </c>
      <c r="E42" s="231" t="s">
        <v>450</v>
      </c>
      <c r="F42" s="240" t="s">
        <v>287</v>
      </c>
      <c r="G42" s="228"/>
      <c r="H42" s="210">
        <v>0</v>
      </c>
      <c r="I42" s="254" t="s">
        <v>446</v>
      </c>
      <c r="J42" s="231"/>
      <c r="K42" s="190"/>
      <c r="L42" s="643"/>
      <c r="M42" s="644"/>
      <c r="N42" s="644"/>
      <c r="O42" s="644"/>
      <c r="P42" s="644"/>
      <c r="Q42" s="644"/>
      <c r="R42" s="644"/>
      <c r="S42" s="644"/>
      <c r="T42" s="644"/>
      <c r="U42" s="644"/>
      <c r="V42" s="644"/>
    </row>
    <row r="43" spans="1:22" s="187" customFormat="1" ht="12.95" customHeight="1" thickBot="1">
      <c r="A43" s="235" t="s">
        <v>282</v>
      </c>
      <c r="B43" s="192" t="s">
        <v>248</v>
      </c>
      <c r="C43" s="233"/>
      <c r="D43" s="203" t="s">
        <v>310</v>
      </c>
      <c r="E43" s="229"/>
      <c r="F43" s="240" t="s">
        <v>288</v>
      </c>
      <c r="G43" s="228"/>
      <c r="H43" s="203" t="s">
        <v>49</v>
      </c>
      <c r="I43" s="255"/>
      <c r="J43" s="231"/>
      <c r="K43" s="190"/>
      <c r="L43" s="643"/>
      <c r="M43" s="644"/>
      <c r="N43" s="644"/>
      <c r="O43" s="644"/>
      <c r="P43" s="644"/>
      <c r="Q43" s="644"/>
      <c r="R43" s="644"/>
      <c r="S43" s="644"/>
      <c r="T43" s="644"/>
      <c r="U43" s="644"/>
      <c r="V43" s="644"/>
    </row>
    <row r="44" spans="1:22" s="187" customFormat="1" ht="12.95" customHeight="1" thickBot="1">
      <c r="A44" s="241" t="s">
        <v>283</v>
      </c>
      <c r="B44" s="256" t="s">
        <v>249</v>
      </c>
      <c r="C44" s="257"/>
      <c r="D44" s="210">
        <v>3500</v>
      </c>
      <c r="E44" s="243" t="s">
        <v>450</v>
      </c>
      <c r="F44" s="258" t="s">
        <v>289</v>
      </c>
      <c r="G44" s="259"/>
      <c r="H44" s="210">
        <v>0</v>
      </c>
      <c r="I44" s="254" t="s">
        <v>446</v>
      </c>
      <c r="J44" s="231"/>
      <c r="K44" s="190"/>
      <c r="L44" s="643"/>
      <c r="M44" s="644"/>
      <c r="N44" s="644"/>
      <c r="O44" s="644"/>
      <c r="P44" s="644"/>
      <c r="Q44" s="644"/>
      <c r="R44" s="644"/>
      <c r="S44" s="644"/>
      <c r="T44" s="644"/>
      <c r="U44" s="644"/>
      <c r="V44" s="644"/>
    </row>
    <row r="45" spans="1:22" s="187" customFormat="1" ht="7.5" customHeight="1" thickTop="1" thickBot="1">
      <c r="A45" s="221"/>
      <c r="B45" s="221"/>
      <c r="C45" s="260"/>
      <c r="D45" s="221"/>
      <c r="E45" s="261"/>
      <c r="F45" s="221"/>
      <c r="G45" s="260"/>
      <c r="H45" s="221"/>
      <c r="I45" s="262"/>
      <c r="J45" s="231"/>
      <c r="K45" s="190"/>
      <c r="L45" s="643"/>
      <c r="M45" s="644"/>
      <c r="N45" s="644"/>
      <c r="O45" s="644"/>
      <c r="P45" s="644"/>
      <c r="Q45" s="644"/>
      <c r="R45" s="644"/>
      <c r="S45" s="644"/>
      <c r="T45" s="644"/>
      <c r="U45" s="644"/>
      <c r="V45" s="644"/>
    </row>
    <row r="46" spans="1:22" s="187" customFormat="1" ht="15.6" customHeight="1" thickTop="1" thickBot="1">
      <c r="A46" s="184" t="s">
        <v>371</v>
      </c>
      <c r="B46" s="185"/>
      <c r="C46" s="228"/>
      <c r="D46" s="185"/>
      <c r="E46" s="229"/>
      <c r="F46" s="185"/>
      <c r="G46" s="228"/>
      <c r="H46" s="230" t="s">
        <v>447</v>
      </c>
      <c r="I46" s="186"/>
      <c r="J46" s="231"/>
      <c r="K46" s="190"/>
      <c r="L46" s="643"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47)&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2026年１月分の報告省令レート（ただし、米ドルと日本円間のレートについては同年１月１日時点の最新の為替レート）を用いてください。</v>
      </c>
      <c r="M46" s="649"/>
      <c r="N46" s="649"/>
      <c r="O46" s="649"/>
      <c r="P46" s="649"/>
      <c r="Q46" s="649"/>
      <c r="R46" s="649"/>
      <c r="S46" s="649"/>
      <c r="T46" s="649"/>
      <c r="U46" s="649"/>
      <c r="V46" s="649"/>
    </row>
    <row r="47" spans="1:22" s="187" customFormat="1" ht="12.95" customHeight="1" thickBot="1">
      <c r="A47" s="235" t="s">
        <v>290</v>
      </c>
      <c r="B47" s="192" t="s">
        <v>0</v>
      </c>
      <c r="C47" s="233"/>
      <c r="D47" s="199">
        <v>0</v>
      </c>
      <c r="E47" s="231" t="s">
        <v>48</v>
      </c>
      <c r="F47" s="234" t="s">
        <v>299</v>
      </c>
      <c r="G47" s="228"/>
      <c r="H47" s="199">
        <v>2</v>
      </c>
      <c r="I47" s="194" t="s">
        <v>48</v>
      </c>
      <c r="J47" s="231"/>
      <c r="K47" s="190"/>
      <c r="L47" s="650"/>
      <c r="M47" s="649"/>
      <c r="N47" s="649"/>
      <c r="O47" s="649"/>
      <c r="P47" s="649"/>
      <c r="Q47" s="649"/>
      <c r="R47" s="649"/>
      <c r="S47" s="649"/>
      <c r="T47" s="649"/>
      <c r="U47" s="649"/>
      <c r="V47" s="649"/>
    </row>
    <row r="48" spans="1:22" s="187" customFormat="1" ht="12.95" customHeight="1" thickBot="1">
      <c r="A48" s="235" t="s">
        <v>291</v>
      </c>
      <c r="B48" s="192" t="s">
        <v>1</v>
      </c>
      <c r="C48" s="233"/>
      <c r="D48" s="199">
        <v>0</v>
      </c>
      <c r="E48" s="231" t="s">
        <v>48</v>
      </c>
      <c r="F48" s="240" t="s">
        <v>300</v>
      </c>
      <c r="G48" s="228"/>
      <c r="H48" s="199">
        <v>0</v>
      </c>
      <c r="I48" s="194" t="s">
        <v>48</v>
      </c>
      <c r="J48" s="231"/>
      <c r="K48" s="190"/>
      <c r="L48" s="650"/>
      <c r="M48" s="649"/>
      <c r="N48" s="649"/>
      <c r="O48" s="649"/>
      <c r="P48" s="649"/>
      <c r="Q48" s="649"/>
      <c r="R48" s="649"/>
      <c r="S48" s="649"/>
      <c r="T48" s="649"/>
      <c r="U48" s="649"/>
      <c r="V48" s="649"/>
    </row>
    <row r="49" spans="1:22" s="187" customFormat="1" ht="12.95" customHeight="1" thickBot="1">
      <c r="A49" s="235" t="s">
        <v>292</v>
      </c>
      <c r="B49" s="192" t="s">
        <v>2</v>
      </c>
      <c r="C49" s="233"/>
      <c r="D49" s="199">
        <v>1</v>
      </c>
      <c r="E49" s="231" t="s">
        <v>48</v>
      </c>
      <c r="F49" s="240" t="s">
        <v>301</v>
      </c>
      <c r="G49" s="228"/>
      <c r="H49" s="199">
        <v>0</v>
      </c>
      <c r="I49" s="194" t="s">
        <v>48</v>
      </c>
      <c r="J49" s="231"/>
      <c r="K49" s="190"/>
      <c r="L49" s="650"/>
      <c r="M49" s="649"/>
      <c r="N49" s="649"/>
      <c r="O49" s="649"/>
      <c r="P49" s="649"/>
      <c r="Q49" s="649"/>
      <c r="R49" s="649"/>
      <c r="S49" s="649"/>
      <c r="T49" s="649"/>
      <c r="U49" s="649"/>
      <c r="V49" s="649"/>
    </row>
    <row r="50" spans="1:22" s="187" customFormat="1" ht="12.95" customHeight="1" thickBot="1">
      <c r="A50" s="235" t="s">
        <v>293</v>
      </c>
      <c r="B50" s="192" t="s">
        <v>3</v>
      </c>
      <c r="C50" s="233"/>
      <c r="D50" s="199">
        <v>0</v>
      </c>
      <c r="E50" s="231" t="s">
        <v>48</v>
      </c>
      <c r="F50" s="240" t="s">
        <v>302</v>
      </c>
      <c r="G50" s="228"/>
      <c r="H50" s="199">
        <v>0</v>
      </c>
      <c r="I50" s="194" t="s">
        <v>48</v>
      </c>
      <c r="J50" s="231"/>
      <c r="K50" s="190"/>
      <c r="L50" s="643" t="s">
        <v>498</v>
      </c>
      <c r="M50" s="644"/>
      <c r="N50" s="644"/>
      <c r="O50" s="644"/>
      <c r="P50" s="644"/>
      <c r="Q50" s="644"/>
      <c r="R50" s="644"/>
      <c r="S50" s="644"/>
      <c r="T50" s="644"/>
      <c r="U50" s="644"/>
      <c r="V50" s="644"/>
    </row>
    <row r="51" spans="1:22" s="187" customFormat="1" ht="12.95" customHeight="1" thickBot="1">
      <c r="A51" s="235" t="s">
        <v>294</v>
      </c>
      <c r="B51" s="192" t="s">
        <v>4</v>
      </c>
      <c r="C51" s="233"/>
      <c r="D51" s="199">
        <v>0</v>
      </c>
      <c r="E51" s="231" t="s">
        <v>48</v>
      </c>
      <c r="F51" s="240" t="s">
        <v>303</v>
      </c>
      <c r="G51" s="228"/>
      <c r="H51" s="199">
        <v>0</v>
      </c>
      <c r="I51" s="194" t="s">
        <v>48</v>
      </c>
      <c r="J51" s="231"/>
      <c r="K51" s="190"/>
      <c r="L51" s="643"/>
      <c r="M51" s="644"/>
      <c r="N51" s="644"/>
      <c r="O51" s="644"/>
      <c r="P51" s="644"/>
      <c r="Q51" s="644"/>
      <c r="R51" s="644"/>
      <c r="S51" s="644"/>
      <c r="T51" s="644"/>
      <c r="U51" s="644"/>
      <c r="V51" s="644"/>
    </row>
    <row r="52" spans="1:22" s="187" customFormat="1" ht="12.95" customHeight="1" thickBot="1">
      <c r="A52" s="235" t="s">
        <v>295</v>
      </c>
      <c r="B52" s="192" t="s">
        <v>5</v>
      </c>
      <c r="C52" s="233"/>
      <c r="D52" s="199">
        <v>0</v>
      </c>
      <c r="E52" s="231" t="s">
        <v>48</v>
      </c>
      <c r="F52" s="240" t="s">
        <v>304</v>
      </c>
      <c r="G52" s="228"/>
      <c r="H52" s="199">
        <v>0</v>
      </c>
      <c r="I52" s="194" t="s">
        <v>48</v>
      </c>
      <c r="J52" s="231"/>
      <c r="K52" s="190"/>
      <c r="L52" s="643"/>
      <c r="M52" s="644"/>
      <c r="N52" s="644"/>
      <c r="O52" s="644"/>
      <c r="P52" s="644"/>
      <c r="Q52" s="644"/>
      <c r="R52" s="644"/>
      <c r="S52" s="644"/>
      <c r="T52" s="644"/>
      <c r="U52" s="644"/>
      <c r="V52" s="644"/>
    </row>
    <row r="53" spans="1:22" s="187" customFormat="1" ht="12.95" customHeight="1" thickBot="1">
      <c r="A53" s="235" t="s">
        <v>296</v>
      </c>
      <c r="B53" s="192" t="s">
        <v>244</v>
      </c>
      <c r="C53" s="233"/>
      <c r="D53" s="199">
        <v>0</v>
      </c>
      <c r="E53" s="231" t="s">
        <v>48</v>
      </c>
      <c r="F53" s="240" t="s">
        <v>305</v>
      </c>
      <c r="G53" s="228"/>
      <c r="H53" s="199">
        <v>0</v>
      </c>
      <c r="I53" s="194" t="s">
        <v>48</v>
      </c>
      <c r="J53" s="231"/>
      <c r="K53" s="190"/>
      <c r="L53" s="643" t="s">
        <v>339</v>
      </c>
      <c r="M53" s="644"/>
      <c r="N53" s="644"/>
      <c r="O53" s="644"/>
      <c r="P53" s="644"/>
      <c r="Q53" s="644"/>
      <c r="R53" s="644"/>
      <c r="S53" s="644"/>
      <c r="T53" s="644"/>
      <c r="U53" s="644"/>
      <c r="V53" s="644"/>
    </row>
    <row r="54" spans="1:22" s="187" customFormat="1" ht="12.95" customHeight="1" thickBot="1">
      <c r="A54" s="235" t="s">
        <v>297</v>
      </c>
      <c r="B54" s="263" t="s">
        <v>245</v>
      </c>
      <c r="C54" s="264"/>
      <c r="D54" s="199">
        <v>0</v>
      </c>
      <c r="E54" s="231" t="s">
        <v>48</v>
      </c>
      <c r="F54" s="240" t="s">
        <v>306</v>
      </c>
      <c r="G54" s="228"/>
      <c r="H54" s="199">
        <v>0</v>
      </c>
      <c r="I54" s="194" t="s">
        <v>48</v>
      </c>
      <c r="J54" s="231"/>
      <c r="K54" s="190"/>
      <c r="L54" s="643"/>
      <c r="M54" s="644"/>
      <c r="N54" s="644"/>
      <c r="O54" s="644"/>
      <c r="P54" s="644"/>
      <c r="Q54" s="644"/>
      <c r="R54" s="644"/>
      <c r="S54" s="644"/>
      <c r="T54" s="644"/>
      <c r="U54" s="644"/>
      <c r="V54" s="644"/>
    </row>
    <row r="55" spans="1:22" s="187" customFormat="1" ht="12.95" customHeight="1" thickBot="1">
      <c r="A55" s="241" t="s">
        <v>298</v>
      </c>
      <c r="B55" s="265" t="s">
        <v>246</v>
      </c>
      <c r="C55" s="242"/>
      <c r="D55" s="199">
        <v>0</v>
      </c>
      <c r="E55" s="243" t="s">
        <v>48</v>
      </c>
      <c r="F55" s="266" t="s">
        <v>307</v>
      </c>
      <c r="G55" s="259"/>
      <c r="H55" s="199">
        <v>0</v>
      </c>
      <c r="I55" s="216" t="s">
        <v>48</v>
      </c>
      <c r="J55" s="231"/>
      <c r="K55" s="190"/>
      <c r="L55" s="643"/>
      <c r="M55" s="644"/>
      <c r="N55" s="644"/>
      <c r="O55" s="644"/>
      <c r="P55" s="644"/>
      <c r="Q55" s="644"/>
      <c r="R55" s="644"/>
      <c r="S55" s="644"/>
      <c r="T55" s="644"/>
      <c r="U55" s="644"/>
      <c r="V55" s="644"/>
    </row>
    <row r="56" spans="1:22" ht="6.6" customHeight="1" thickTop="1">
      <c r="C56" s="267"/>
      <c r="D56" s="268"/>
      <c r="E56" s="269"/>
      <c r="G56" s="267"/>
      <c r="H56" s="270"/>
      <c r="I56" s="270"/>
      <c r="J56" s="269"/>
      <c r="K56" s="172"/>
      <c r="L56" s="148"/>
      <c r="M56" s="148"/>
      <c r="N56" s="148"/>
      <c r="O56" s="148"/>
      <c r="P56" s="148"/>
      <c r="Q56" s="148"/>
      <c r="R56" s="148"/>
      <c r="S56" s="148"/>
      <c r="T56" s="148"/>
      <c r="U56" s="148"/>
      <c r="V56" s="148"/>
    </row>
    <row r="57" spans="1:22" ht="12.75" hidden="1" customHeight="1">
      <c r="B57" s="166" t="s">
        <v>237</v>
      </c>
      <c r="K57" s="172"/>
      <c r="L57" s="148"/>
      <c r="M57" s="148"/>
      <c r="N57" s="148"/>
      <c r="O57" s="148"/>
      <c r="P57" s="148"/>
      <c r="Q57" s="148"/>
      <c r="R57" s="148"/>
      <c r="S57" s="148"/>
      <c r="T57" s="148"/>
      <c r="U57" s="148"/>
      <c r="V57" s="148"/>
    </row>
    <row r="58" spans="1:22" ht="17.25" hidden="1" customHeight="1" thickBot="1">
      <c r="B58" s="182" t="s">
        <v>38</v>
      </c>
      <c r="C58" s="182"/>
      <c r="D58" s="271" t="s">
        <v>312</v>
      </c>
      <c r="E58" s="182"/>
      <c r="H58" s="182" t="s">
        <v>372</v>
      </c>
      <c r="I58" s="182"/>
      <c r="K58" s="172"/>
      <c r="L58" s="148" t="s">
        <v>314</v>
      </c>
      <c r="M58" s="148"/>
      <c r="N58" s="148"/>
      <c r="O58" s="148"/>
      <c r="P58" s="148"/>
      <c r="Q58" s="148"/>
      <c r="R58" s="148"/>
      <c r="S58" s="148"/>
      <c r="T58" s="148"/>
      <c r="U58" s="148"/>
      <c r="V58" s="148"/>
    </row>
    <row r="59" spans="1:22" ht="23.25" hidden="1" customHeight="1" thickBot="1">
      <c r="B59" s="150" t="s">
        <v>224</v>
      </c>
      <c r="C59" s="150"/>
      <c r="D59" s="272" t="s">
        <v>311</v>
      </c>
      <c r="E59" s="150"/>
      <c r="H59" s="182" t="s">
        <v>373</v>
      </c>
      <c r="I59" s="182"/>
      <c r="K59" s="172"/>
      <c r="L59" s="148"/>
      <c r="M59" s="148"/>
      <c r="N59" s="148"/>
      <c r="O59" s="148"/>
      <c r="P59" s="148"/>
      <c r="Q59" s="148"/>
      <c r="R59" s="148"/>
      <c r="S59" s="148"/>
      <c r="T59" s="148"/>
      <c r="U59" s="148"/>
      <c r="V59" s="148"/>
    </row>
    <row r="60" spans="1:22" ht="6.75" customHeight="1">
      <c r="K60" s="172"/>
      <c r="L60" s="148"/>
      <c r="M60" s="148"/>
      <c r="N60" s="148"/>
      <c r="O60" s="148"/>
      <c r="P60" s="148"/>
      <c r="Q60" s="148"/>
      <c r="R60" s="148"/>
      <c r="S60" s="148"/>
      <c r="T60" s="148"/>
      <c r="U60" s="148"/>
      <c r="V60" s="148"/>
    </row>
    <row r="61" spans="1:22">
      <c r="B61" s="166" t="s">
        <v>252</v>
      </c>
      <c r="K61" s="172"/>
      <c r="L61" s="148" t="s">
        <v>492</v>
      </c>
      <c r="M61" s="148"/>
      <c r="N61" s="148"/>
      <c r="O61" s="148"/>
      <c r="P61" s="148"/>
      <c r="Q61" s="148"/>
      <c r="R61" s="148"/>
      <c r="S61" s="148"/>
      <c r="T61" s="148"/>
      <c r="U61" s="148"/>
      <c r="V61" s="148"/>
    </row>
    <row r="62" spans="1:22" ht="13.5" customHeight="1">
      <c r="B62" s="273" t="s">
        <v>334</v>
      </c>
      <c r="K62" s="172"/>
      <c r="L62" s="643" t="s">
        <v>503</v>
      </c>
      <c r="M62" s="644"/>
      <c r="N62" s="644"/>
      <c r="O62" s="644"/>
      <c r="P62" s="644"/>
      <c r="Q62" s="644"/>
      <c r="R62" s="644"/>
      <c r="S62" s="644"/>
      <c r="T62" s="644"/>
      <c r="U62" s="644"/>
      <c r="V62" s="644"/>
    </row>
    <row r="63" spans="1:22" ht="13.5" customHeight="1">
      <c r="B63" s="274" t="s">
        <v>253</v>
      </c>
      <c r="K63" s="172"/>
      <c r="L63" s="643"/>
      <c r="M63" s="644"/>
      <c r="N63" s="644"/>
      <c r="O63" s="644"/>
      <c r="P63" s="644"/>
      <c r="Q63" s="644"/>
      <c r="R63" s="644"/>
      <c r="S63" s="644"/>
      <c r="T63" s="644"/>
      <c r="U63" s="644"/>
      <c r="V63" s="644"/>
    </row>
    <row r="64" spans="1:22">
      <c r="B64" s="274" t="s">
        <v>354</v>
      </c>
      <c r="K64" s="172"/>
      <c r="L64" s="643"/>
      <c r="M64" s="644"/>
      <c r="N64" s="644"/>
      <c r="O64" s="644"/>
      <c r="P64" s="644"/>
      <c r="Q64" s="644"/>
      <c r="R64" s="644"/>
      <c r="S64" s="644"/>
      <c r="T64" s="644"/>
      <c r="U64" s="644"/>
      <c r="V64" s="644"/>
    </row>
    <row r="65" spans="1:22" ht="13.5" customHeight="1">
      <c r="B65" s="274" t="s">
        <v>333</v>
      </c>
      <c r="K65" s="172"/>
      <c r="L65" s="643"/>
      <c r="M65" s="644"/>
      <c r="N65" s="644"/>
      <c r="O65" s="644"/>
      <c r="P65" s="644"/>
      <c r="Q65" s="644"/>
      <c r="R65" s="644"/>
      <c r="S65" s="644"/>
      <c r="T65" s="644"/>
      <c r="U65" s="644"/>
      <c r="V65" s="644"/>
    </row>
    <row r="66" spans="1:22">
      <c r="B66" s="274" t="s">
        <v>355</v>
      </c>
      <c r="K66" s="172"/>
      <c r="L66" s="643" t="s">
        <v>502</v>
      </c>
      <c r="M66" s="644"/>
      <c r="N66" s="644"/>
      <c r="O66" s="644"/>
      <c r="P66" s="644"/>
      <c r="Q66" s="644"/>
      <c r="R66" s="644"/>
      <c r="S66" s="644"/>
      <c r="T66" s="644"/>
      <c r="U66" s="644"/>
      <c r="V66" s="644"/>
    </row>
    <row r="67" spans="1:22">
      <c r="B67" s="274" t="s">
        <v>247</v>
      </c>
      <c r="K67" s="172"/>
      <c r="L67" s="643"/>
      <c r="M67" s="644"/>
      <c r="N67" s="644"/>
      <c r="O67" s="644"/>
      <c r="P67" s="644"/>
      <c r="Q67" s="644"/>
      <c r="R67" s="644"/>
      <c r="S67" s="644"/>
      <c r="T67" s="644"/>
      <c r="U67" s="644"/>
      <c r="V67" s="644"/>
    </row>
    <row r="68" spans="1:22" ht="10.5" customHeight="1">
      <c r="A68" s="275"/>
      <c r="B68" s="158" t="s">
        <v>356</v>
      </c>
      <c r="C68" s="275"/>
      <c r="D68" s="275"/>
      <c r="E68" s="275"/>
      <c r="F68" s="275"/>
      <c r="G68" s="275"/>
      <c r="H68" s="275"/>
      <c r="I68" s="275"/>
      <c r="J68" s="275"/>
      <c r="K68" s="275"/>
      <c r="L68" s="643"/>
      <c r="M68" s="644"/>
      <c r="N68" s="644"/>
      <c r="O68" s="644"/>
      <c r="P68" s="644"/>
      <c r="Q68" s="644"/>
      <c r="R68" s="644"/>
      <c r="S68" s="644"/>
      <c r="T68" s="644"/>
      <c r="U68" s="644"/>
      <c r="V68" s="644"/>
    </row>
    <row r="69" spans="1:22" ht="10.5" customHeight="1">
      <c r="B69" s="166" t="s">
        <v>243</v>
      </c>
      <c r="L69" s="643"/>
      <c r="M69" s="644"/>
      <c r="N69" s="644"/>
      <c r="O69" s="644"/>
      <c r="P69" s="644"/>
      <c r="Q69" s="644"/>
      <c r="R69" s="644"/>
      <c r="S69" s="644"/>
      <c r="T69" s="644"/>
      <c r="U69" s="644"/>
      <c r="V69" s="644"/>
    </row>
    <row r="70" spans="1:22">
      <c r="A70" s="276"/>
      <c r="B70" s="277" t="s">
        <v>335</v>
      </c>
      <c r="C70" s="278"/>
      <c r="D70" s="279">
        <v>0</v>
      </c>
      <c r="E70" s="280"/>
      <c r="F70" s="646"/>
      <c r="G70" s="647"/>
      <c r="H70" s="647"/>
      <c r="I70" s="648"/>
      <c r="K70" s="172"/>
      <c r="L70" s="643" t="s">
        <v>504</v>
      </c>
      <c r="M70" s="644"/>
      <c r="N70" s="644"/>
      <c r="O70" s="644"/>
      <c r="P70" s="644"/>
      <c r="Q70" s="644"/>
      <c r="R70" s="644"/>
      <c r="S70" s="644"/>
      <c r="T70" s="644"/>
      <c r="U70" s="644"/>
      <c r="V70" s="644"/>
    </row>
    <row r="71" spans="1:22" ht="10.5" customHeight="1">
      <c r="A71" s="281"/>
      <c r="B71" s="282" t="s">
        <v>336</v>
      </c>
      <c r="C71" s="283"/>
      <c r="D71" s="284">
        <v>0</v>
      </c>
      <c r="E71" s="285"/>
      <c r="F71" s="286"/>
      <c r="G71" s="286"/>
      <c r="H71" s="284">
        <v>0</v>
      </c>
      <c r="I71" s="287"/>
      <c r="K71" s="172"/>
      <c r="L71" s="643"/>
      <c r="M71" s="644"/>
      <c r="N71" s="644"/>
      <c r="O71" s="644"/>
      <c r="P71" s="644"/>
      <c r="Q71" s="644"/>
      <c r="R71" s="644"/>
      <c r="S71" s="644"/>
      <c r="T71" s="644"/>
      <c r="U71" s="644"/>
      <c r="V71" s="644"/>
    </row>
    <row r="72" spans="1:22" ht="10.5" customHeight="1">
      <c r="B72" s="288" t="s">
        <v>337</v>
      </c>
      <c r="C72" s="289"/>
      <c r="D72" s="290">
        <v>0</v>
      </c>
      <c r="E72" s="280"/>
      <c r="F72" s="278"/>
      <c r="G72" s="278"/>
      <c r="H72" s="290">
        <v>0</v>
      </c>
      <c r="I72" s="291"/>
      <c r="K72" s="172"/>
      <c r="L72" s="273" t="s">
        <v>363</v>
      </c>
      <c r="M72" s="148"/>
      <c r="N72" s="148"/>
      <c r="O72" s="148"/>
      <c r="P72" s="148"/>
      <c r="Q72" s="148"/>
      <c r="R72" s="148"/>
      <c r="S72" s="148"/>
      <c r="T72" s="148"/>
      <c r="U72" s="148"/>
      <c r="V72" s="148"/>
    </row>
    <row r="73" spans="1:22" ht="10.5" customHeight="1">
      <c r="B73" s="282" t="s">
        <v>338</v>
      </c>
      <c r="C73" s="283"/>
      <c r="D73" s="284">
        <v>0</v>
      </c>
      <c r="E73" s="285"/>
      <c r="F73" s="286"/>
      <c r="G73" s="286"/>
      <c r="H73" s="284">
        <v>0</v>
      </c>
      <c r="I73" s="287"/>
      <c r="K73" s="292" t="s">
        <v>444</v>
      </c>
      <c r="L73" s="274" t="s">
        <v>374</v>
      </c>
      <c r="M73" s="148"/>
      <c r="N73" s="148"/>
      <c r="O73" s="148"/>
      <c r="P73" s="148"/>
      <c r="Q73" s="148"/>
      <c r="R73" s="148"/>
      <c r="S73" s="148"/>
      <c r="T73" s="148"/>
      <c r="U73" s="148"/>
      <c r="V73" s="148"/>
    </row>
    <row r="74" spans="1:22" ht="10.5" customHeight="1"/>
  </sheetData>
  <protectedRanges>
    <protectedRange sqref="H8" name="範囲1"/>
    <protectedRange sqref="D19" name="範囲1_1"/>
    <protectedRange sqref="D31" name="範囲1_2"/>
    <protectedRange sqref="H31" name="範囲1_3"/>
  </protectedRanges>
  <mergeCells count="21">
    <mergeCell ref="F70:I70"/>
    <mergeCell ref="L15:V18"/>
    <mergeCell ref="L32:V34"/>
    <mergeCell ref="L38:V45"/>
    <mergeCell ref="L53:V55"/>
    <mergeCell ref="L24:V27"/>
    <mergeCell ref="L62:V65"/>
    <mergeCell ref="L66:V69"/>
    <mergeCell ref="L70:V71"/>
    <mergeCell ref="L50:V52"/>
    <mergeCell ref="L46:V49"/>
    <mergeCell ref="A1:I1"/>
    <mergeCell ref="E8:G8"/>
    <mergeCell ref="L7:V8"/>
    <mergeCell ref="B5:I6"/>
    <mergeCell ref="E12:G12"/>
    <mergeCell ref="L1:V1"/>
    <mergeCell ref="L9:V11"/>
    <mergeCell ref="L4:V6"/>
    <mergeCell ref="L12:V14"/>
    <mergeCell ref="E10:G10"/>
  </mergeCells>
  <phoneticPr fontId="2"/>
  <conditionalFormatting sqref="B22:D22">
    <cfRule type="expression" dxfId="17" priority="6">
      <formula>$D$21&lt;&gt;"特別の障がい者である"</formula>
    </cfRule>
  </conditionalFormatting>
  <conditionalFormatting sqref="B24:E27">
    <cfRule type="expression" dxfId="16" priority="7">
      <formula>$D$23="いいえ"</formula>
    </cfRule>
  </conditionalFormatting>
  <conditionalFormatting sqref="B33:E34">
    <cfRule type="expression" dxfId="15" priority="5">
      <formula>$D$32="いいえ"</formula>
    </cfRule>
  </conditionalFormatting>
  <conditionalFormatting sqref="B36:E36">
    <cfRule type="expression" dxfId="14" priority="10">
      <formula>$D$32="はい"</formula>
    </cfRule>
  </conditionalFormatting>
  <conditionalFormatting sqref="G30:I36">
    <cfRule type="expression" dxfId="13" priority="1">
      <formula>$D$32="いいえ"</formula>
    </cfRule>
  </conditionalFormatting>
  <conditionalFormatting sqref="G38:I44">
    <cfRule type="expression" dxfId="12" priority="3">
      <formula>$D$32="いいえ"</formula>
    </cfRule>
  </conditionalFormatting>
  <conditionalFormatting sqref="G47:I55">
    <cfRule type="expression" dxfId="11" priority="9">
      <formula>$D$32="いいえ"</formula>
    </cfRule>
  </conditionalFormatting>
  <conditionalFormatting sqref="H36">
    <cfRule type="expression" dxfId="10" priority="4">
      <formula>$D$32="はい"</formula>
    </cfRule>
  </conditionalFormatting>
  <conditionalFormatting sqref="H71:I73">
    <cfRule type="expression" dxfId="9" priority="8">
      <formula>OR($D$32="いいえ",$D$33="いいえ")</formula>
    </cfRule>
  </conditionalFormatting>
  <dataValidations count="5">
    <dataValidation type="list" allowBlank="1" showInputMessage="1" showErrorMessage="1" sqref="H35" xr:uid="{00000000-0002-0000-0200-000000000000}">
      <formula1>$F$12:$F$13</formula1>
    </dataValidation>
    <dataValidation type="date" allowBlank="1" showInputMessage="1" showErrorMessage="1" sqref="H8" xr:uid="{00000000-0002-0000-0200-000001000000}">
      <formula1>1</formula1>
      <formula2>401404</formula2>
    </dataValidation>
    <dataValidation type="list" allowBlank="1" showInputMessage="1" showErrorMessage="1" sqref="D22:D23" xr:uid="{00000000-0002-0000-0200-000002000000}">
      <formula1>$F$3:$F$4</formula1>
    </dataValidation>
    <dataValidation type="whole" allowBlank="1" showInputMessage="1" showErrorMessage="1" sqref="D10" xr:uid="{00000000-0002-0000-0200-000003000000}">
      <formula1>2000</formula1>
      <formula2>9999</formula2>
    </dataValidation>
    <dataValidation type="date" allowBlank="1" showInputMessage="1" showErrorMessage="1" sqref="D19 D31 H31" xr:uid="{00000000-0002-0000-0200-000004000000}">
      <formula1>1</formula1>
      <formula2>73051</formula2>
    </dataValidation>
  </dataValidations>
  <pageMargins left="0.43307086614173229" right="0.43307086614173229" top="0.35433070866141736" bottom="0.35433070866141736" header="0.11811023622047245" footer="0.11811023622047245"/>
  <pageSetup paperSize="9" scale="68"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5000000}">
          <x14:formula1>
            <xm:f>計算シート!$F$5:$F$7</xm:f>
          </x14:formula1>
          <xm:sqref>D21</xm:sqref>
        </x14:dataValidation>
        <x14:dataValidation type="list" allowBlank="1" showInputMessage="1" showErrorMessage="1" xr:uid="{00000000-0002-0000-0200-000006000000}">
          <x14:formula1>
            <xm:f>計算シート!$F$11:$F$13</xm:f>
          </x14:formula1>
          <xm:sqref>D20</xm:sqref>
        </x14:dataValidation>
        <x14:dataValidation type="list" allowBlank="1" showInputMessage="1" showErrorMessage="1" xr:uid="{00000000-0002-0000-0200-000007000000}">
          <x14:formula1>
            <xm:f>計算シート!$F$8:$F$10</xm:f>
          </x14:formula1>
          <xm:sqref>D36</xm:sqref>
        </x14:dataValidation>
        <x14:dataValidation type="list" allowBlank="1" showInputMessage="1" showErrorMessage="1" xr:uid="{00000000-0002-0000-0200-000008000000}">
          <x14:formula1>
            <xm:f>前年レート!$N$12:$N$74</xm:f>
          </x14:formula1>
          <xm:sqref>D39 D43 H39 D41 H41 H43 D24 D26</xm:sqref>
        </x14:dataValidation>
        <x14:dataValidation type="list" allowBlank="1" showInputMessage="1" showErrorMessage="1" xr:uid="{00000000-0002-0000-0200-000009000000}">
          <x14:formula1>
            <xm:f>計算シート!$F$5:$F$6</xm:f>
          </x14:formula1>
          <xm:sqref>D35</xm:sqref>
        </x14:dataValidation>
        <x14:dataValidation type="list" allowBlank="1" showInputMessage="1" showErrorMessage="1" xr:uid="{00000000-0002-0000-0200-00000A000000}">
          <x14:formula1>
            <xm:f>計算シート!$F$3:$F$4</xm:f>
          </x14:formula1>
          <xm:sqref>D32:D34</xm:sqref>
        </x14:dataValidation>
        <x14:dataValidation type="list" allowBlank="1" showInputMessage="1" showErrorMessage="1" xr:uid="{00000000-0002-0000-0200-00000B000000}">
          <x14:formula1>
            <xm:f>計算シート!$F$15:$F$19</xm:f>
          </x14:formula1>
          <xm:sqref>H10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73"/>
  <sheetViews>
    <sheetView view="pageBreakPreview" zoomScaleNormal="100" zoomScaleSheetLayoutView="100" workbookViewId="0">
      <selection activeCell="H42" sqref="H42"/>
    </sheetView>
  </sheetViews>
  <sheetFormatPr defaultRowHeight="13.5"/>
  <cols>
    <col min="1" max="1" width="3.125" customWidth="1"/>
    <col min="2" max="2" width="34.625" customWidth="1"/>
    <col min="3" max="3" width="0.625" customWidth="1"/>
    <col min="4" max="4" width="16.625" customWidth="1"/>
    <col min="5" max="5" width="4.75" bestFit="1" customWidth="1"/>
    <col min="6" max="6" width="4.125" customWidth="1"/>
    <col min="7" max="7" width="2.5" customWidth="1"/>
    <col min="8" max="8" width="16.625" customWidth="1"/>
    <col min="9" max="9" width="4.75" bestFit="1" customWidth="1"/>
    <col min="10" max="15" width="0.625" customWidth="1"/>
    <col min="16" max="16" width="4.875" customWidth="1"/>
    <col min="27" max="27" width="4.25" customWidth="1"/>
  </cols>
  <sheetData>
    <row r="1" spans="1:27">
      <c r="A1" s="558" t="s">
        <v>443</v>
      </c>
      <c r="B1" s="558"/>
      <c r="C1" s="558"/>
      <c r="D1" s="558"/>
      <c r="E1" s="558"/>
      <c r="F1" s="558"/>
      <c r="G1" s="558"/>
      <c r="H1" s="558"/>
      <c r="I1" s="558"/>
      <c r="P1" s="145"/>
      <c r="Q1" s="558" t="s">
        <v>308</v>
      </c>
      <c r="R1" s="558"/>
      <c r="S1" s="558"/>
      <c r="T1" s="558"/>
      <c r="U1" s="558"/>
      <c r="V1" s="558"/>
      <c r="W1" s="558"/>
      <c r="X1" s="558"/>
      <c r="Y1" s="558"/>
      <c r="Z1" s="558"/>
      <c r="AA1" s="558"/>
    </row>
    <row r="2" spans="1:27" ht="6" customHeight="1">
      <c r="A2" s="55"/>
      <c r="B2" s="55"/>
      <c r="C2" s="55"/>
      <c r="D2" s="55"/>
      <c r="E2" s="55"/>
      <c r="F2" s="55"/>
      <c r="G2" s="55"/>
      <c r="H2" s="55"/>
      <c r="I2" s="55"/>
      <c r="P2" s="145"/>
    </row>
    <row r="3" spans="1:27">
      <c r="A3" s="68" t="s">
        <v>242</v>
      </c>
      <c r="C3" s="55"/>
      <c r="D3" s="55"/>
      <c r="E3" s="55"/>
      <c r="F3" s="55"/>
      <c r="G3" s="55"/>
      <c r="H3" s="55"/>
      <c r="I3" s="55"/>
      <c r="P3" s="145"/>
      <c r="Q3" s="144" t="s">
        <v>487</v>
      </c>
      <c r="R3" s="144"/>
      <c r="S3" s="144"/>
      <c r="T3" s="144"/>
      <c r="U3" s="144"/>
      <c r="V3" s="144"/>
      <c r="W3" s="144"/>
      <c r="X3" s="144"/>
      <c r="Y3" s="144"/>
      <c r="Z3" s="144"/>
      <c r="AA3" s="144"/>
    </row>
    <row r="4" spans="1:27" ht="15.75" customHeight="1">
      <c r="A4" s="55"/>
      <c r="B4" s="68"/>
      <c r="C4" s="55"/>
      <c r="D4" s="55"/>
      <c r="E4" s="55"/>
      <c r="F4" s="55"/>
      <c r="G4" s="55"/>
      <c r="H4" s="55"/>
      <c r="I4" s="55"/>
      <c r="P4" s="145"/>
      <c r="Q4" s="643" t="s">
        <v>494</v>
      </c>
      <c r="R4" s="644"/>
      <c r="S4" s="644"/>
      <c r="T4" s="644"/>
      <c r="U4" s="644"/>
      <c r="V4" s="644"/>
      <c r="W4" s="644"/>
      <c r="X4" s="644"/>
      <c r="Y4" s="644"/>
      <c r="Z4" s="644"/>
      <c r="AA4" s="644"/>
    </row>
    <row r="5" spans="1:27" ht="13.5" customHeight="1">
      <c r="A5" s="55"/>
      <c r="B5" s="559" t="s">
        <v>375</v>
      </c>
      <c r="C5" s="559"/>
      <c r="D5" s="559"/>
      <c r="E5" s="559"/>
      <c r="F5" s="559"/>
      <c r="G5" s="559"/>
      <c r="H5" s="559"/>
      <c r="I5" s="559"/>
      <c r="P5" s="145"/>
      <c r="Q5" s="643"/>
      <c r="R5" s="644"/>
      <c r="S5" s="644"/>
      <c r="T5" s="644"/>
      <c r="U5" s="644"/>
      <c r="V5" s="644"/>
      <c r="W5" s="644"/>
      <c r="X5" s="644"/>
      <c r="Y5" s="644"/>
      <c r="Z5" s="644"/>
      <c r="AA5" s="644"/>
    </row>
    <row r="6" spans="1:27">
      <c r="A6" s="55"/>
      <c r="B6" s="559"/>
      <c r="C6" s="559"/>
      <c r="D6" s="559"/>
      <c r="E6" s="559"/>
      <c r="F6" s="559"/>
      <c r="G6" s="559"/>
      <c r="H6" s="559"/>
      <c r="I6" s="559"/>
      <c r="P6" s="145"/>
      <c r="Q6" s="643"/>
      <c r="R6" s="644"/>
      <c r="S6" s="644"/>
      <c r="T6" s="644"/>
      <c r="U6" s="644"/>
      <c r="V6" s="644"/>
      <c r="W6" s="644"/>
      <c r="X6" s="644"/>
      <c r="Y6" s="644"/>
      <c r="Z6" s="644"/>
      <c r="AA6" s="644"/>
    </row>
    <row r="7" spans="1:27" ht="13.5" customHeight="1">
      <c r="A7" s="55"/>
      <c r="B7" s="390"/>
      <c r="C7" s="390"/>
      <c r="D7" s="390"/>
      <c r="E7" s="390"/>
      <c r="F7" s="390"/>
      <c r="G7" s="390"/>
      <c r="H7" s="390"/>
      <c r="I7" s="390"/>
      <c r="P7" s="145"/>
      <c r="Q7" s="643" t="s">
        <v>340</v>
      </c>
      <c r="R7" s="644"/>
      <c r="S7" s="644"/>
      <c r="T7" s="644"/>
      <c r="U7" s="644"/>
      <c r="V7" s="644"/>
      <c r="W7" s="644"/>
      <c r="X7" s="644"/>
      <c r="Y7" s="644"/>
      <c r="Z7" s="644"/>
      <c r="AA7" s="644"/>
    </row>
    <row r="8" spans="1:27" ht="14.25" thickBot="1">
      <c r="A8" s="55"/>
      <c r="B8" s="390"/>
      <c r="C8" s="390"/>
      <c r="D8" s="390"/>
      <c r="E8" s="571" t="s">
        <v>331</v>
      </c>
      <c r="F8" s="571"/>
      <c r="G8" s="571"/>
      <c r="H8" s="391">
        <v>43647</v>
      </c>
      <c r="I8" s="390"/>
      <c r="P8" s="145"/>
      <c r="Q8" s="643"/>
      <c r="R8" s="644"/>
      <c r="S8" s="644"/>
      <c r="T8" s="644"/>
      <c r="U8" s="644"/>
      <c r="V8" s="644"/>
      <c r="W8" s="644"/>
      <c r="X8" s="644"/>
      <c r="Y8" s="644"/>
      <c r="Z8" s="644"/>
      <c r="AA8" s="644"/>
    </row>
    <row r="9" spans="1:27" ht="13.5" customHeight="1">
      <c r="A9" s="55"/>
      <c r="B9" s="55"/>
      <c r="C9" s="55"/>
      <c r="D9" s="55"/>
      <c r="H9" s="160" t="s">
        <v>376</v>
      </c>
      <c r="I9" s="55"/>
      <c r="P9" s="145"/>
      <c r="Q9" s="643" t="s">
        <v>493</v>
      </c>
      <c r="R9" s="644"/>
      <c r="S9" s="644"/>
      <c r="T9" s="644"/>
      <c r="U9" s="644"/>
      <c r="V9" s="644"/>
      <c r="W9" s="644"/>
      <c r="X9" s="644"/>
      <c r="Y9" s="644"/>
      <c r="Z9" s="644"/>
      <c r="AA9" s="644"/>
    </row>
    <row r="10" spans="1:27" ht="13.5" customHeight="1" thickBot="1">
      <c r="A10" s="55"/>
      <c r="B10" s="149" t="s">
        <v>349</v>
      </c>
      <c r="C10" s="55"/>
      <c r="D10" s="167">
        <v>2020</v>
      </c>
      <c r="E10" s="571" t="s">
        <v>346</v>
      </c>
      <c r="F10" s="571"/>
      <c r="G10" s="571"/>
      <c r="H10" s="168" t="s">
        <v>342</v>
      </c>
      <c r="I10" s="55"/>
      <c r="P10" s="145"/>
      <c r="Q10" s="643"/>
      <c r="R10" s="644"/>
      <c r="S10" s="644"/>
      <c r="T10" s="644"/>
      <c r="U10" s="644"/>
      <c r="V10" s="644"/>
      <c r="W10" s="644"/>
      <c r="X10" s="644"/>
      <c r="Y10" s="644"/>
      <c r="Z10" s="644"/>
      <c r="AA10" s="644"/>
    </row>
    <row r="11" spans="1:27" ht="14.25" thickBot="1">
      <c r="A11" s="55"/>
      <c r="B11" s="149" t="s">
        <v>377</v>
      </c>
      <c r="C11" s="58"/>
      <c r="D11" s="170">
        <v>12345678</v>
      </c>
      <c r="E11" s="293" t="s">
        <v>378</v>
      </c>
      <c r="F11" s="294">
        <v>101</v>
      </c>
      <c r="G11" s="293" t="s">
        <v>378</v>
      </c>
      <c r="H11" s="294">
        <v>901234</v>
      </c>
      <c r="I11" s="55"/>
      <c r="P11" s="145"/>
      <c r="Q11" s="643"/>
      <c r="R11" s="644"/>
      <c r="S11" s="644"/>
      <c r="T11" s="644"/>
      <c r="U11" s="644"/>
      <c r="V11" s="644"/>
      <c r="W11" s="644"/>
      <c r="X11" s="644"/>
      <c r="Y11" s="644"/>
      <c r="Z11" s="644"/>
      <c r="AA11" s="644"/>
    </row>
    <row r="12" spans="1:27" ht="14.25" customHeight="1" thickBot="1">
      <c r="B12" s="149" t="s">
        <v>379</v>
      </c>
      <c r="C12" s="58"/>
      <c r="D12" s="58" t="s">
        <v>380</v>
      </c>
      <c r="E12" s="654" t="s">
        <v>332</v>
      </c>
      <c r="F12" s="654"/>
      <c r="G12" s="654"/>
      <c r="H12" s="391">
        <v>37072</v>
      </c>
      <c r="P12" s="145"/>
      <c r="Q12" s="643" t="s">
        <v>361</v>
      </c>
      <c r="R12" s="644"/>
      <c r="S12" s="644"/>
      <c r="T12" s="644"/>
      <c r="U12" s="644"/>
      <c r="V12" s="644"/>
      <c r="W12" s="644"/>
      <c r="X12" s="644"/>
      <c r="Y12" s="644"/>
      <c r="Z12" s="644"/>
      <c r="AA12" s="644"/>
    </row>
    <row r="13" spans="1:27" ht="14.25" thickBot="1">
      <c r="B13" s="149" t="s">
        <v>221</v>
      </c>
      <c r="C13" s="69"/>
      <c r="D13" s="69" t="s">
        <v>381</v>
      </c>
      <c r="H13" s="160" t="s">
        <v>382</v>
      </c>
      <c r="P13" s="145"/>
      <c r="Q13" s="643"/>
      <c r="R13" s="644"/>
      <c r="S13" s="644"/>
      <c r="T13" s="644"/>
      <c r="U13" s="644"/>
      <c r="V13" s="644"/>
      <c r="W13" s="644"/>
      <c r="X13" s="644"/>
      <c r="Y13" s="644"/>
      <c r="Z13" s="644"/>
      <c r="AA13" s="644"/>
    </row>
    <row r="14" spans="1:27" ht="14.25" thickBot="1">
      <c r="B14" s="149" t="s">
        <v>222</v>
      </c>
      <c r="C14" s="69"/>
      <c r="D14" s="150" t="s">
        <v>383</v>
      </c>
      <c r="E14" s="39"/>
      <c r="F14" s="39"/>
      <c r="G14" s="39"/>
      <c r="H14" s="39"/>
      <c r="P14" s="145"/>
      <c r="Q14" s="643"/>
      <c r="R14" s="644"/>
      <c r="S14" s="644"/>
      <c r="T14" s="644"/>
      <c r="U14" s="644"/>
      <c r="V14" s="644"/>
      <c r="W14" s="644"/>
      <c r="X14" s="644"/>
      <c r="Y14" s="644"/>
      <c r="Z14" s="644"/>
      <c r="AA14" s="644"/>
    </row>
    <row r="15" spans="1:27" ht="13.5" customHeight="1">
      <c r="B15" s="68" t="str">
        <f>"※ 以下、収入（所得）は【"&amp;IF(計算シート!C50=1,計算シート!C48,計算シート!C49)&amp;"年1月1日～12月31日】のものを入力してください。"</f>
        <v>※ 以下、収入（所得）は【2025年1月1日～12月31日】のものを入力してください。</v>
      </c>
      <c r="D15" s="166"/>
      <c r="E15" s="39"/>
      <c r="F15" s="39"/>
      <c r="G15" s="39"/>
      <c r="H15" s="39"/>
      <c r="P15" s="145"/>
      <c r="Q15" s="655" t="s">
        <v>309</v>
      </c>
      <c r="R15" s="656"/>
      <c r="S15" s="656"/>
      <c r="T15" s="656"/>
      <c r="U15" s="656"/>
      <c r="V15" s="656"/>
      <c r="W15" s="656"/>
      <c r="X15" s="656"/>
      <c r="Y15" s="656"/>
      <c r="Z15" s="656"/>
      <c r="AA15" s="656"/>
    </row>
    <row r="16" spans="1:27">
      <c r="B16" s="68" t="str">
        <f>"    扶養等の情報は【"&amp;IF(計算シート!C50=1,計算シート!C48,計算シート!C49)&amp;"年12月31日】現在のものを入力してください。"</f>
        <v xml:space="preserve">    扶養等の情報は【2025年12月31日】現在のものを入力してください。</v>
      </c>
      <c r="D16" s="166"/>
      <c r="E16" s="39"/>
      <c r="F16" s="39"/>
      <c r="G16" s="39"/>
      <c r="H16" s="39"/>
      <c r="P16" s="145"/>
      <c r="Q16" s="655"/>
      <c r="R16" s="656"/>
      <c r="S16" s="656"/>
      <c r="T16" s="656"/>
      <c r="U16" s="656"/>
      <c r="V16" s="656"/>
      <c r="W16" s="656"/>
      <c r="X16" s="656"/>
      <c r="Y16" s="656"/>
      <c r="Z16" s="656"/>
      <c r="AA16" s="656"/>
    </row>
    <row r="17" spans="1:27" ht="7.5" customHeight="1" thickBot="1">
      <c r="A17" s="61"/>
      <c r="B17" s="61"/>
      <c r="C17" s="61"/>
      <c r="D17" s="61"/>
      <c r="E17" s="61"/>
      <c r="P17" s="145"/>
      <c r="Q17" s="655"/>
      <c r="R17" s="656"/>
      <c r="S17" s="656"/>
      <c r="T17" s="656"/>
      <c r="U17" s="656"/>
      <c r="V17" s="656"/>
      <c r="W17" s="656"/>
      <c r="X17" s="656"/>
      <c r="Y17" s="656"/>
      <c r="Z17" s="656"/>
      <c r="AA17" s="656"/>
    </row>
    <row r="18" spans="1:27" s="76" customFormat="1" ht="15.6" customHeight="1" thickTop="1">
      <c r="A18" s="67" t="s">
        <v>384</v>
      </c>
      <c r="B18" s="56"/>
      <c r="C18" s="56"/>
      <c r="D18" s="56"/>
      <c r="E18" s="75"/>
      <c r="G18" s="64" t="s">
        <v>318</v>
      </c>
      <c r="H18" s="151"/>
      <c r="I18" s="75"/>
      <c r="P18" s="146"/>
      <c r="Q18" s="655"/>
      <c r="R18" s="656"/>
      <c r="S18" s="656"/>
      <c r="T18" s="656"/>
      <c r="U18" s="656"/>
      <c r="V18" s="656"/>
      <c r="W18" s="656"/>
      <c r="X18" s="656"/>
      <c r="Y18" s="656"/>
      <c r="Z18" s="656"/>
      <c r="AA18" s="656"/>
    </row>
    <row r="19" spans="1:27" s="76" customFormat="1" ht="12.95" customHeight="1" thickBot="1">
      <c r="A19" s="132" t="s">
        <v>385</v>
      </c>
      <c r="B19" s="42" t="s">
        <v>352</v>
      </c>
      <c r="C19" s="298"/>
      <c r="D19" s="299">
        <f>H12</f>
        <v>37072</v>
      </c>
      <c r="E19" s="79"/>
      <c r="G19" s="153" t="s">
        <v>319</v>
      </c>
      <c r="H19" s="56"/>
      <c r="I19" s="79"/>
      <c r="P19" s="146"/>
      <c r="Q19" s="302" t="s">
        <v>488</v>
      </c>
      <c r="R19" s="162"/>
      <c r="S19" s="162"/>
      <c r="T19" s="162"/>
      <c r="U19" s="162"/>
      <c r="V19" s="162"/>
      <c r="W19" s="162"/>
      <c r="X19" s="162"/>
      <c r="Y19" s="162"/>
      <c r="Z19" s="162"/>
      <c r="AA19" s="162"/>
    </row>
    <row r="20" spans="1:27" s="76" customFormat="1" ht="12.95" customHeight="1" thickBot="1">
      <c r="A20" s="133" t="s">
        <v>386</v>
      </c>
      <c r="B20" s="43" t="s">
        <v>238</v>
      </c>
      <c r="D20" s="40" t="s">
        <v>38</v>
      </c>
      <c r="E20" s="79"/>
      <c r="G20" s="153" t="s">
        <v>320</v>
      </c>
      <c r="H20" s="56"/>
      <c r="I20" s="79"/>
      <c r="P20" s="146"/>
      <c r="Q20" s="211" t="s">
        <v>489</v>
      </c>
      <c r="R20" s="162"/>
      <c r="S20" s="162"/>
      <c r="T20" s="162"/>
      <c r="U20" s="162"/>
      <c r="V20" s="162"/>
      <c r="W20" s="162"/>
      <c r="X20" s="162"/>
      <c r="Y20" s="162"/>
      <c r="Z20" s="162"/>
      <c r="AA20" s="162"/>
    </row>
    <row r="21" spans="1:27" s="76" customFormat="1" ht="12.95" customHeight="1" thickBot="1">
      <c r="A21" s="133" t="s">
        <v>387</v>
      </c>
      <c r="B21" s="76" t="s">
        <v>239</v>
      </c>
      <c r="C21" s="80"/>
      <c r="D21" s="70" t="s">
        <v>211</v>
      </c>
      <c r="E21" s="79"/>
      <c r="G21" s="153" t="s">
        <v>321</v>
      </c>
      <c r="H21" s="56"/>
      <c r="I21" s="79"/>
      <c r="P21" s="146"/>
      <c r="Q21" s="302" t="s">
        <v>490</v>
      </c>
      <c r="R21" s="162"/>
      <c r="S21" s="162"/>
      <c r="T21" s="162"/>
      <c r="U21" s="162"/>
      <c r="V21" s="162"/>
      <c r="W21" s="162"/>
      <c r="X21" s="162"/>
      <c r="Y21" s="162"/>
      <c r="Z21" s="162"/>
      <c r="AA21" s="162"/>
    </row>
    <row r="22" spans="1:27" s="76" customFormat="1" ht="12.95" customHeight="1" thickBot="1">
      <c r="A22" s="133" t="s">
        <v>388</v>
      </c>
      <c r="B22" s="81" t="s">
        <v>240</v>
      </c>
      <c r="C22" s="80"/>
      <c r="D22" s="54" t="s">
        <v>42</v>
      </c>
      <c r="E22" s="79"/>
      <c r="G22" s="154">
        <v>1</v>
      </c>
      <c r="H22" s="155" t="s">
        <v>322</v>
      </c>
      <c r="I22" s="157" t="s">
        <v>389</v>
      </c>
      <c r="P22" s="146"/>
      <c r="Q22" s="302" t="s">
        <v>495</v>
      </c>
      <c r="R22" s="162"/>
      <c r="S22" s="162"/>
      <c r="T22" s="162"/>
      <c r="U22" s="162"/>
      <c r="V22" s="162"/>
      <c r="W22" s="162"/>
      <c r="X22" s="162"/>
      <c r="Y22" s="162"/>
      <c r="Z22" s="162"/>
      <c r="AA22" s="162"/>
    </row>
    <row r="23" spans="1:27" s="76" customFormat="1" ht="12.95" customHeight="1" thickBot="1">
      <c r="A23" s="133" t="s">
        <v>390</v>
      </c>
      <c r="B23" s="82" t="s">
        <v>391</v>
      </c>
      <c r="C23" s="77"/>
      <c r="D23" s="40" t="s">
        <v>40</v>
      </c>
      <c r="E23" s="79"/>
      <c r="G23" s="154">
        <v>2</v>
      </c>
      <c r="H23" s="156" t="s">
        <v>392</v>
      </c>
      <c r="I23" s="157" t="s">
        <v>445</v>
      </c>
      <c r="P23" s="146"/>
      <c r="Q23" s="302" t="s">
        <v>501</v>
      </c>
      <c r="R23" s="162"/>
      <c r="S23" s="162"/>
      <c r="T23" s="162"/>
      <c r="U23" s="162"/>
      <c r="V23" s="162"/>
      <c r="W23" s="162"/>
      <c r="X23" s="162"/>
      <c r="Y23" s="162"/>
      <c r="Z23" s="162"/>
      <c r="AA23" s="162"/>
    </row>
    <row r="24" spans="1:27" s="76" customFormat="1" ht="12.95" customHeight="1" thickBot="1">
      <c r="A24" s="133" t="s">
        <v>393</v>
      </c>
      <c r="B24" s="42" t="s">
        <v>225</v>
      </c>
      <c r="C24" s="77"/>
      <c r="D24" s="54" t="s">
        <v>49</v>
      </c>
      <c r="E24" s="79"/>
      <c r="G24" s="154">
        <v>3</v>
      </c>
      <c r="H24" s="155" t="s">
        <v>394</v>
      </c>
      <c r="I24" s="157" t="s">
        <v>445</v>
      </c>
      <c r="P24" s="146"/>
      <c r="Q24" s="643" t="s">
        <v>759</v>
      </c>
      <c r="R24" s="644"/>
      <c r="S24" s="644"/>
      <c r="T24" s="644"/>
      <c r="U24" s="644"/>
      <c r="V24" s="644"/>
      <c r="W24" s="644"/>
      <c r="X24" s="644"/>
      <c r="Y24" s="644"/>
      <c r="Z24" s="644"/>
      <c r="AA24" s="644"/>
    </row>
    <row r="25" spans="1:27" s="76" customFormat="1" ht="12.95" customHeight="1" thickBot="1">
      <c r="A25" s="133" t="s">
        <v>395</v>
      </c>
      <c r="B25" s="76" t="s">
        <v>226</v>
      </c>
      <c r="D25" s="83">
        <v>0</v>
      </c>
      <c r="E25" s="78" t="s">
        <v>446</v>
      </c>
      <c r="G25" s="154">
        <v>4</v>
      </c>
      <c r="H25" s="155" t="s">
        <v>396</v>
      </c>
      <c r="I25" s="157" t="s">
        <v>447</v>
      </c>
      <c r="P25" s="146"/>
      <c r="Q25" s="643"/>
      <c r="R25" s="644"/>
      <c r="S25" s="644"/>
      <c r="T25" s="644"/>
      <c r="U25" s="644"/>
      <c r="V25" s="644"/>
      <c r="W25" s="644"/>
      <c r="X25" s="644"/>
      <c r="Y25" s="644"/>
      <c r="Z25" s="644"/>
      <c r="AA25" s="644"/>
    </row>
    <row r="26" spans="1:27" s="76" customFormat="1" ht="12.95" customHeight="1" thickBot="1">
      <c r="A26" s="133" t="s">
        <v>397</v>
      </c>
      <c r="B26" s="82" t="s">
        <v>250</v>
      </c>
      <c r="C26" s="77"/>
      <c r="D26" s="54" t="s">
        <v>49</v>
      </c>
      <c r="E26" s="79"/>
      <c r="G26" s="154">
        <v>5</v>
      </c>
      <c r="H26" s="155" t="s">
        <v>398</v>
      </c>
      <c r="I26" s="157" t="s">
        <v>445</v>
      </c>
      <c r="P26" s="146"/>
      <c r="Q26" s="643"/>
      <c r="R26" s="644"/>
      <c r="S26" s="644"/>
      <c r="T26" s="644"/>
      <c r="U26" s="644"/>
      <c r="V26" s="644"/>
      <c r="W26" s="644"/>
      <c r="X26" s="644"/>
      <c r="Y26" s="644"/>
      <c r="Z26" s="644"/>
      <c r="AA26" s="644"/>
    </row>
    <row r="27" spans="1:27" s="76" customFormat="1" ht="12.95" customHeight="1" thickBot="1">
      <c r="A27" s="134" t="s">
        <v>399</v>
      </c>
      <c r="B27" s="62" t="s">
        <v>251</v>
      </c>
      <c r="C27" s="84"/>
      <c r="D27" s="83">
        <v>0</v>
      </c>
      <c r="E27" s="85" t="s">
        <v>446</v>
      </c>
      <c r="G27" s="152"/>
      <c r="H27" s="94"/>
      <c r="I27" s="104"/>
      <c r="P27" s="146"/>
      <c r="Q27" s="643"/>
      <c r="R27" s="644"/>
      <c r="S27" s="644"/>
      <c r="T27" s="644"/>
      <c r="U27" s="644"/>
      <c r="V27" s="644"/>
      <c r="W27" s="644"/>
      <c r="X27" s="644"/>
      <c r="Y27" s="644"/>
      <c r="Z27" s="644"/>
      <c r="AA27" s="644"/>
    </row>
    <row r="28" spans="1:27" s="76" customFormat="1" ht="3" customHeight="1" thickTop="1">
      <c r="P28" s="146"/>
      <c r="Q28" s="220"/>
      <c r="R28" s="148"/>
      <c r="S28" s="148"/>
      <c r="T28" s="148"/>
      <c r="U28" s="148"/>
      <c r="V28" s="148"/>
      <c r="W28" s="148"/>
      <c r="X28" s="148"/>
      <c r="Y28" s="148"/>
      <c r="Z28" s="148"/>
      <c r="AA28" s="148"/>
    </row>
    <row r="29" spans="1:27" s="76" customFormat="1" ht="14.1" customHeight="1" thickBot="1">
      <c r="A29" s="59"/>
      <c r="B29" s="59"/>
      <c r="C29" s="60"/>
      <c r="D29" s="86" t="s">
        <v>38</v>
      </c>
      <c r="E29" s="87"/>
      <c r="F29" s="59"/>
      <c r="G29" s="60"/>
      <c r="H29" s="102" t="s">
        <v>448</v>
      </c>
      <c r="I29" s="88"/>
      <c r="J29" s="89"/>
      <c r="P29" s="146"/>
      <c r="Q29" s="220"/>
      <c r="R29" s="220"/>
      <c r="S29" s="148"/>
      <c r="T29" s="148"/>
      <c r="U29" s="148"/>
      <c r="V29" s="148"/>
      <c r="W29" s="148"/>
      <c r="X29" s="148"/>
      <c r="Y29" s="148"/>
      <c r="Z29" s="148"/>
      <c r="AA29" s="148"/>
    </row>
    <row r="30" spans="1:27" s="76" customFormat="1" ht="15.6" customHeight="1" thickTop="1" thickBot="1">
      <c r="A30" s="64" t="s">
        <v>227</v>
      </c>
      <c r="B30" s="56"/>
      <c r="C30" s="57"/>
      <c r="D30" s="56"/>
      <c r="E30" s="90"/>
      <c r="F30" s="56"/>
      <c r="G30" s="57"/>
      <c r="H30" s="103" t="s">
        <v>447</v>
      </c>
      <c r="I30" s="75"/>
      <c r="J30" s="91"/>
      <c r="P30" s="146"/>
      <c r="Q30" s="322" t="s">
        <v>760</v>
      </c>
      <c r="R30" s="220"/>
      <c r="S30" s="148"/>
      <c r="T30" s="148"/>
      <c r="U30" s="148"/>
      <c r="V30" s="148"/>
      <c r="W30" s="148"/>
      <c r="X30" s="148"/>
      <c r="Y30" s="148"/>
      <c r="Z30" s="148"/>
      <c r="AA30" s="148"/>
    </row>
    <row r="31" spans="1:27" s="76" customFormat="1" ht="12.95" customHeight="1" thickBot="1">
      <c r="A31" s="135" t="s">
        <v>400</v>
      </c>
      <c r="B31" s="42" t="s">
        <v>351</v>
      </c>
      <c r="C31" s="44"/>
      <c r="D31" s="169">
        <v>22037</v>
      </c>
      <c r="E31" s="91"/>
      <c r="F31" s="138" t="s">
        <v>401</v>
      </c>
      <c r="G31" s="57"/>
      <c r="H31" s="169">
        <v>22037</v>
      </c>
      <c r="I31" s="78"/>
      <c r="J31" s="91"/>
      <c r="P31" s="146"/>
      <c r="Q31" s="323" t="s">
        <v>762</v>
      </c>
      <c r="R31" s="220"/>
      <c r="S31" s="148"/>
      <c r="T31" s="148"/>
      <c r="U31" s="148"/>
      <c r="V31" s="148"/>
      <c r="W31" s="148"/>
      <c r="X31" s="148"/>
      <c r="Y31" s="148"/>
      <c r="Z31" s="148"/>
      <c r="AA31" s="148"/>
    </row>
    <row r="32" spans="1:27" s="76" customFormat="1" ht="12.95" customHeight="1" thickBot="1">
      <c r="A32" s="136" t="s">
        <v>402</v>
      </c>
      <c r="B32" s="42" t="s">
        <v>254</v>
      </c>
      <c r="C32" s="44"/>
      <c r="D32" s="40" t="s">
        <v>40</v>
      </c>
      <c r="E32" s="90"/>
      <c r="F32" s="139"/>
      <c r="G32" s="57"/>
      <c r="H32" s="92"/>
      <c r="I32" s="79"/>
      <c r="J32" s="91"/>
      <c r="P32" s="146"/>
      <c r="Q32" s="643" t="s">
        <v>761</v>
      </c>
      <c r="R32" s="644"/>
      <c r="S32" s="644"/>
      <c r="T32" s="644"/>
      <c r="U32" s="644"/>
      <c r="V32" s="644"/>
      <c r="W32" s="644"/>
      <c r="X32" s="644"/>
      <c r="Y32" s="644"/>
      <c r="Z32" s="644"/>
      <c r="AA32" s="644"/>
    </row>
    <row r="33" spans="1:27" s="76" customFormat="1" ht="12.95" customHeight="1" thickBot="1">
      <c r="A33" s="136" t="s">
        <v>403</v>
      </c>
      <c r="B33" s="42" t="s">
        <v>260</v>
      </c>
      <c r="C33" s="44"/>
      <c r="D33" s="40" t="s">
        <v>40</v>
      </c>
      <c r="E33" s="90"/>
      <c r="F33" s="139"/>
      <c r="G33" s="57"/>
      <c r="H33" s="92"/>
      <c r="I33" s="79"/>
      <c r="J33" s="91"/>
      <c r="P33" s="146"/>
      <c r="Q33" s="643"/>
      <c r="R33" s="644"/>
      <c r="S33" s="644"/>
      <c r="T33" s="644"/>
      <c r="U33" s="644"/>
      <c r="V33" s="644"/>
      <c r="W33" s="644"/>
      <c r="X33" s="644"/>
      <c r="Y33" s="644"/>
      <c r="Z33" s="644"/>
      <c r="AA33" s="644"/>
    </row>
    <row r="34" spans="1:27" s="76" customFormat="1" ht="12.95" customHeight="1" thickBot="1">
      <c r="A34" s="136" t="s">
        <v>404</v>
      </c>
      <c r="B34" s="43" t="s">
        <v>257</v>
      </c>
      <c r="C34" s="45"/>
      <c r="D34" s="40" t="s">
        <v>40</v>
      </c>
      <c r="E34" s="90"/>
      <c r="F34" s="139"/>
      <c r="G34" s="57"/>
      <c r="H34" s="56"/>
      <c r="I34" s="79"/>
      <c r="J34" s="91"/>
      <c r="P34" s="146"/>
      <c r="Q34" s="643"/>
      <c r="R34" s="644"/>
      <c r="S34" s="644"/>
      <c r="T34" s="644"/>
      <c r="U34" s="644"/>
      <c r="V34" s="644"/>
      <c r="W34" s="644"/>
      <c r="X34" s="644"/>
      <c r="Y34" s="644"/>
      <c r="Z34" s="644"/>
      <c r="AA34" s="644"/>
    </row>
    <row r="35" spans="1:27" s="76" customFormat="1" ht="12.95" customHeight="1" thickBot="1">
      <c r="A35" s="136" t="s">
        <v>405</v>
      </c>
      <c r="B35" s="42" t="s">
        <v>239</v>
      </c>
      <c r="C35" s="44"/>
      <c r="D35" s="41" t="s">
        <v>44</v>
      </c>
      <c r="E35" s="90"/>
      <c r="F35" s="140" t="s">
        <v>406</v>
      </c>
      <c r="G35" s="57"/>
      <c r="H35" s="41" t="s">
        <v>44</v>
      </c>
      <c r="I35" s="79"/>
      <c r="J35" s="91"/>
      <c r="P35" s="146"/>
      <c r="Q35" s="220" t="s">
        <v>313</v>
      </c>
      <c r="R35" s="220"/>
      <c r="S35" s="220"/>
      <c r="T35" s="220"/>
      <c r="U35" s="220"/>
      <c r="V35" s="220"/>
      <c r="W35" s="220"/>
      <c r="X35" s="220"/>
      <c r="Y35" s="220"/>
      <c r="Z35" s="220"/>
      <c r="AA35" s="220"/>
    </row>
    <row r="36" spans="1:27" s="76" customFormat="1" ht="12.95" customHeight="1" thickBot="1">
      <c r="A36" s="137" t="s">
        <v>407</v>
      </c>
      <c r="B36" s="62" t="s">
        <v>241</v>
      </c>
      <c r="C36" s="63"/>
      <c r="D36" s="41" t="s">
        <v>46</v>
      </c>
      <c r="E36" s="93"/>
      <c r="F36" s="94"/>
      <c r="G36" s="99"/>
      <c r="H36" s="105"/>
      <c r="I36" s="104"/>
      <c r="J36" s="91"/>
      <c r="P36" s="146"/>
      <c r="Q36" s="220" t="s">
        <v>497</v>
      </c>
      <c r="R36" s="220"/>
      <c r="S36" s="220"/>
      <c r="T36" s="220"/>
      <c r="U36" s="220"/>
      <c r="V36" s="220"/>
      <c r="W36" s="220"/>
      <c r="X36" s="220"/>
      <c r="Y36" s="220"/>
      <c r="Z36" s="220"/>
      <c r="AA36" s="220"/>
    </row>
    <row r="37" spans="1:27" s="123" customFormat="1" ht="11.25" customHeight="1" thickTop="1" thickBot="1">
      <c r="A37" s="117" t="s">
        <v>449</v>
      </c>
      <c r="B37" s="118"/>
      <c r="C37" s="119"/>
      <c r="D37" s="118"/>
      <c r="E37" s="120"/>
      <c r="F37" s="118"/>
      <c r="G37" s="119"/>
      <c r="H37" s="121"/>
      <c r="I37" s="118"/>
      <c r="J37" s="122"/>
      <c r="P37" s="147"/>
      <c r="Q37" s="220"/>
      <c r="R37" s="220"/>
      <c r="S37" s="220"/>
      <c r="T37" s="220"/>
      <c r="U37" s="220"/>
      <c r="V37" s="220"/>
      <c r="W37" s="220"/>
      <c r="X37" s="220"/>
      <c r="Y37" s="220"/>
      <c r="Z37" s="220"/>
      <c r="AA37" s="220"/>
    </row>
    <row r="38" spans="1:27" s="76" customFormat="1" ht="15.6" customHeight="1" thickTop="1" thickBot="1">
      <c r="A38" s="64" t="s">
        <v>228</v>
      </c>
      <c r="B38" s="56"/>
      <c r="C38" s="57"/>
      <c r="D38" s="56"/>
      <c r="E38" s="90"/>
      <c r="F38" s="56"/>
      <c r="G38" s="57"/>
      <c r="H38" s="103" t="s">
        <v>447</v>
      </c>
      <c r="I38" s="75"/>
      <c r="J38" s="91"/>
      <c r="P38" s="146"/>
      <c r="Q38" s="643" t="s">
        <v>763</v>
      </c>
      <c r="R38" s="644"/>
      <c r="S38" s="644"/>
      <c r="T38" s="644"/>
      <c r="U38" s="644"/>
      <c r="V38" s="644"/>
      <c r="W38" s="644"/>
      <c r="X38" s="644"/>
      <c r="Y38" s="644"/>
      <c r="Z38" s="644"/>
      <c r="AA38" s="644"/>
    </row>
    <row r="39" spans="1:27" s="76" customFormat="1" ht="12.95" customHeight="1" thickBot="1">
      <c r="A39" s="135" t="s">
        <v>408</v>
      </c>
      <c r="B39" s="42" t="s">
        <v>217</v>
      </c>
      <c r="C39" s="44"/>
      <c r="D39" s="54" t="s">
        <v>310</v>
      </c>
      <c r="E39" s="90"/>
      <c r="F39" s="138" t="s">
        <v>409</v>
      </c>
      <c r="G39" s="57"/>
      <c r="H39" s="54" t="s">
        <v>49</v>
      </c>
      <c r="I39" s="79"/>
      <c r="J39" s="91"/>
      <c r="P39" s="146"/>
      <c r="Q39" s="643"/>
      <c r="R39" s="644"/>
      <c r="S39" s="644"/>
      <c r="T39" s="644"/>
      <c r="U39" s="644"/>
      <c r="V39" s="644"/>
      <c r="W39" s="644"/>
      <c r="X39" s="644"/>
      <c r="Y39" s="644"/>
      <c r="Z39" s="644"/>
      <c r="AA39" s="644"/>
    </row>
    <row r="40" spans="1:27" s="76" customFormat="1" ht="12.95" customHeight="1" thickBot="1">
      <c r="A40" s="136" t="s">
        <v>410</v>
      </c>
      <c r="B40" s="42" t="s">
        <v>219</v>
      </c>
      <c r="C40" s="44"/>
      <c r="D40" s="83">
        <v>42000</v>
      </c>
      <c r="E40" s="91" t="s">
        <v>450</v>
      </c>
      <c r="F40" s="140" t="s">
        <v>411</v>
      </c>
      <c r="G40" s="57"/>
      <c r="H40" s="83">
        <v>2700000</v>
      </c>
      <c r="I40" s="78" t="s">
        <v>446</v>
      </c>
      <c r="J40" s="91"/>
      <c r="P40" s="146"/>
      <c r="Q40" s="643"/>
      <c r="R40" s="644"/>
      <c r="S40" s="644"/>
      <c r="T40" s="644"/>
      <c r="U40" s="644"/>
      <c r="V40" s="644"/>
      <c r="W40" s="644"/>
      <c r="X40" s="644"/>
      <c r="Y40" s="644"/>
      <c r="Z40" s="644"/>
      <c r="AA40" s="644"/>
    </row>
    <row r="41" spans="1:27" s="76" customFormat="1" ht="12.95" customHeight="1" thickBot="1">
      <c r="A41" s="136" t="s">
        <v>412</v>
      </c>
      <c r="B41" s="42" t="s">
        <v>218</v>
      </c>
      <c r="C41" s="44"/>
      <c r="D41" s="54" t="s">
        <v>310</v>
      </c>
      <c r="E41" s="90"/>
      <c r="F41" s="140" t="s">
        <v>413</v>
      </c>
      <c r="G41" s="57"/>
      <c r="H41" s="54" t="s">
        <v>49</v>
      </c>
      <c r="I41" s="79"/>
      <c r="J41" s="91"/>
      <c r="P41" s="146"/>
      <c r="Q41" s="643"/>
      <c r="R41" s="644"/>
      <c r="S41" s="644"/>
      <c r="T41" s="644"/>
      <c r="U41" s="644"/>
      <c r="V41" s="644"/>
      <c r="W41" s="644"/>
      <c r="X41" s="644"/>
      <c r="Y41" s="644"/>
      <c r="Z41" s="644"/>
      <c r="AA41" s="644"/>
    </row>
    <row r="42" spans="1:27" s="76" customFormat="1" ht="12.95" customHeight="1" thickBot="1">
      <c r="A42" s="136" t="s">
        <v>414</v>
      </c>
      <c r="B42" s="42" t="s">
        <v>220</v>
      </c>
      <c r="C42" s="44"/>
      <c r="D42" s="83">
        <v>0</v>
      </c>
      <c r="E42" s="91" t="s">
        <v>450</v>
      </c>
      <c r="F42" s="140" t="s">
        <v>415</v>
      </c>
      <c r="G42" s="57"/>
      <c r="H42" s="83">
        <v>0</v>
      </c>
      <c r="I42" s="97" t="s">
        <v>446</v>
      </c>
      <c r="J42" s="91"/>
      <c r="P42" s="146"/>
      <c r="Q42" s="643"/>
      <c r="R42" s="644"/>
      <c r="S42" s="644"/>
      <c r="T42" s="644"/>
      <c r="U42" s="644"/>
      <c r="V42" s="644"/>
      <c r="W42" s="644"/>
      <c r="X42" s="644"/>
      <c r="Y42" s="644"/>
      <c r="Z42" s="644"/>
      <c r="AA42" s="644"/>
    </row>
    <row r="43" spans="1:27" s="76" customFormat="1" ht="12.95" customHeight="1" thickBot="1">
      <c r="A43" s="136" t="s">
        <v>416</v>
      </c>
      <c r="B43" s="42" t="s">
        <v>248</v>
      </c>
      <c r="C43" s="44"/>
      <c r="D43" s="54" t="s">
        <v>310</v>
      </c>
      <c r="E43" s="90"/>
      <c r="F43" s="140" t="s">
        <v>417</v>
      </c>
      <c r="G43" s="57"/>
      <c r="H43" s="54" t="s">
        <v>49</v>
      </c>
      <c r="I43" s="98"/>
      <c r="J43" s="91"/>
      <c r="P43" s="146"/>
      <c r="Q43" s="643"/>
      <c r="R43" s="644"/>
      <c r="S43" s="644"/>
      <c r="T43" s="644"/>
      <c r="U43" s="644"/>
      <c r="V43" s="644"/>
      <c r="W43" s="644"/>
      <c r="X43" s="644"/>
      <c r="Y43" s="644"/>
      <c r="Z43" s="644"/>
      <c r="AA43" s="644"/>
    </row>
    <row r="44" spans="1:27" s="76" customFormat="1" ht="12.95" customHeight="1" thickBot="1">
      <c r="A44" s="137" t="s">
        <v>418</v>
      </c>
      <c r="B44" s="66" t="s">
        <v>249</v>
      </c>
      <c r="C44" s="51"/>
      <c r="D44" s="83">
        <v>3500</v>
      </c>
      <c r="E44" s="93" t="s">
        <v>450</v>
      </c>
      <c r="F44" s="142" t="s">
        <v>419</v>
      </c>
      <c r="G44" s="95"/>
      <c r="H44" s="83">
        <v>0</v>
      </c>
      <c r="I44" s="97" t="s">
        <v>446</v>
      </c>
      <c r="J44" s="91"/>
      <c r="P44" s="146"/>
      <c r="Q44" s="643"/>
      <c r="R44" s="644"/>
      <c r="S44" s="644"/>
      <c r="T44" s="644"/>
      <c r="U44" s="644"/>
      <c r="V44" s="644"/>
      <c r="W44" s="644"/>
      <c r="X44" s="644"/>
      <c r="Y44" s="644"/>
      <c r="Z44" s="644"/>
      <c r="AA44" s="644"/>
    </row>
    <row r="45" spans="1:27" s="76" customFormat="1" ht="6" customHeight="1" thickTop="1" thickBot="1">
      <c r="A45" s="59"/>
      <c r="B45" s="59"/>
      <c r="C45" s="65"/>
      <c r="D45" s="59"/>
      <c r="E45" s="96"/>
      <c r="F45" s="59"/>
      <c r="G45" s="65"/>
      <c r="H45" s="59"/>
      <c r="I45" s="100"/>
      <c r="J45" s="91"/>
      <c r="P45" s="146"/>
      <c r="Q45" s="643"/>
      <c r="R45" s="644"/>
      <c r="S45" s="644"/>
      <c r="T45" s="644"/>
      <c r="U45" s="644"/>
      <c r="V45" s="644"/>
      <c r="W45" s="644"/>
      <c r="X45" s="644"/>
      <c r="Y45" s="644"/>
      <c r="Z45" s="644"/>
      <c r="AA45" s="644"/>
    </row>
    <row r="46" spans="1:27" s="76" customFormat="1" ht="15.6" customHeight="1" thickTop="1" thickBot="1">
      <c r="A46" s="67" t="s">
        <v>256</v>
      </c>
      <c r="B46" s="56"/>
      <c r="C46" s="57"/>
      <c r="D46" s="56"/>
      <c r="E46" s="90"/>
      <c r="F46" s="56"/>
      <c r="G46" s="57"/>
      <c r="H46" s="103" t="s">
        <v>447</v>
      </c>
      <c r="I46" s="75"/>
      <c r="J46" s="91"/>
      <c r="P46" s="146"/>
      <c r="Q46" s="643"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47)&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2026年１月分の報告省令レート（ただし、米ドルと日本円間のレートについては同年１月１日時点の最新の為替レート）を用いてください。</v>
      </c>
      <c r="R46" s="649"/>
      <c r="S46" s="649"/>
      <c r="T46" s="649"/>
      <c r="U46" s="649"/>
      <c r="V46" s="649"/>
      <c r="W46" s="649"/>
      <c r="X46" s="649"/>
      <c r="Y46" s="649"/>
      <c r="Z46" s="649"/>
      <c r="AA46" s="649"/>
    </row>
    <row r="47" spans="1:27" s="76" customFormat="1" ht="12.95" customHeight="1" thickBot="1">
      <c r="A47" s="136" t="s">
        <v>420</v>
      </c>
      <c r="B47" s="42" t="s">
        <v>0</v>
      </c>
      <c r="C47" s="44"/>
      <c r="D47" s="40">
        <v>0</v>
      </c>
      <c r="E47" s="91" t="s">
        <v>48</v>
      </c>
      <c r="F47" s="138" t="s">
        <v>421</v>
      </c>
      <c r="G47" s="57"/>
      <c r="H47" s="40">
        <v>2</v>
      </c>
      <c r="I47" s="78" t="s">
        <v>48</v>
      </c>
      <c r="J47" s="91"/>
      <c r="P47" s="146"/>
      <c r="Q47" s="650"/>
      <c r="R47" s="649"/>
      <c r="S47" s="649"/>
      <c r="T47" s="649"/>
      <c r="U47" s="649"/>
      <c r="V47" s="649"/>
      <c r="W47" s="649"/>
      <c r="X47" s="649"/>
      <c r="Y47" s="649"/>
      <c r="Z47" s="649"/>
      <c r="AA47" s="649"/>
    </row>
    <row r="48" spans="1:27" s="76" customFormat="1" ht="12.95" customHeight="1" thickBot="1">
      <c r="A48" s="136" t="s">
        <v>422</v>
      </c>
      <c r="B48" s="42" t="s">
        <v>1</v>
      </c>
      <c r="C48" s="44"/>
      <c r="D48" s="40">
        <v>0</v>
      </c>
      <c r="E48" s="91" t="s">
        <v>48</v>
      </c>
      <c r="F48" s="140" t="s">
        <v>423</v>
      </c>
      <c r="G48" s="57"/>
      <c r="H48" s="40">
        <v>0</v>
      </c>
      <c r="I48" s="78" t="s">
        <v>48</v>
      </c>
      <c r="J48" s="91"/>
      <c r="P48" s="146"/>
      <c r="Q48" s="650"/>
      <c r="R48" s="649"/>
      <c r="S48" s="649"/>
      <c r="T48" s="649"/>
      <c r="U48" s="649"/>
      <c r="V48" s="649"/>
      <c r="W48" s="649"/>
      <c r="X48" s="649"/>
      <c r="Y48" s="649"/>
      <c r="Z48" s="649"/>
      <c r="AA48" s="649"/>
    </row>
    <row r="49" spans="1:27" s="76" customFormat="1" ht="12.95" customHeight="1" thickBot="1">
      <c r="A49" s="136" t="s">
        <v>424</v>
      </c>
      <c r="B49" s="42" t="s">
        <v>2</v>
      </c>
      <c r="C49" s="44"/>
      <c r="D49" s="40">
        <v>1</v>
      </c>
      <c r="E49" s="91" t="s">
        <v>48</v>
      </c>
      <c r="F49" s="140" t="s">
        <v>425</v>
      </c>
      <c r="G49" s="57"/>
      <c r="H49" s="40">
        <v>0</v>
      </c>
      <c r="I49" s="78" t="s">
        <v>48</v>
      </c>
      <c r="J49" s="91"/>
      <c r="P49" s="146"/>
      <c r="Q49" s="650"/>
      <c r="R49" s="649"/>
      <c r="S49" s="649"/>
      <c r="T49" s="649"/>
      <c r="U49" s="649"/>
      <c r="V49" s="649"/>
      <c r="W49" s="649"/>
      <c r="X49" s="649"/>
      <c r="Y49" s="649"/>
      <c r="Z49" s="649"/>
      <c r="AA49" s="649"/>
    </row>
    <row r="50" spans="1:27" s="76" customFormat="1" ht="12.95" customHeight="1" thickBot="1">
      <c r="A50" s="136" t="s">
        <v>426</v>
      </c>
      <c r="B50" s="42" t="s">
        <v>3</v>
      </c>
      <c r="C50" s="44"/>
      <c r="D50" s="40">
        <v>0</v>
      </c>
      <c r="E50" s="91" t="s">
        <v>48</v>
      </c>
      <c r="F50" s="140" t="s">
        <v>427</v>
      </c>
      <c r="G50" s="57"/>
      <c r="H50" s="40">
        <v>0</v>
      </c>
      <c r="I50" s="78" t="s">
        <v>48</v>
      </c>
      <c r="J50" s="91"/>
      <c r="P50" s="146"/>
      <c r="Q50" s="643" t="s">
        <v>498</v>
      </c>
      <c r="R50" s="644"/>
      <c r="S50" s="644"/>
      <c r="T50" s="644"/>
      <c r="U50" s="644"/>
      <c r="V50" s="644"/>
      <c r="W50" s="644"/>
      <c r="X50" s="644"/>
      <c r="Y50" s="644"/>
      <c r="Z50" s="644"/>
      <c r="AA50" s="644"/>
    </row>
    <row r="51" spans="1:27" s="76" customFormat="1" ht="12.95" customHeight="1" thickBot="1">
      <c r="A51" s="136" t="s">
        <v>428</v>
      </c>
      <c r="B51" s="42" t="s">
        <v>4</v>
      </c>
      <c r="C51" s="44"/>
      <c r="D51" s="40">
        <v>0</v>
      </c>
      <c r="E51" s="91" t="s">
        <v>48</v>
      </c>
      <c r="F51" s="140" t="s">
        <v>429</v>
      </c>
      <c r="G51" s="57"/>
      <c r="H51" s="40">
        <v>0</v>
      </c>
      <c r="I51" s="78" t="s">
        <v>48</v>
      </c>
      <c r="J51" s="91"/>
      <c r="P51" s="146"/>
      <c r="Q51" s="643"/>
      <c r="R51" s="644"/>
      <c r="S51" s="644"/>
      <c r="T51" s="644"/>
      <c r="U51" s="644"/>
      <c r="V51" s="644"/>
      <c r="W51" s="644"/>
      <c r="X51" s="644"/>
      <c r="Y51" s="644"/>
      <c r="Z51" s="644"/>
      <c r="AA51" s="644"/>
    </row>
    <row r="52" spans="1:27" s="76" customFormat="1" ht="12.95" customHeight="1" thickBot="1">
      <c r="A52" s="136" t="s">
        <v>430</v>
      </c>
      <c r="B52" s="42" t="s">
        <v>5</v>
      </c>
      <c r="C52" s="44"/>
      <c r="D52" s="40">
        <v>0</v>
      </c>
      <c r="E52" s="91" t="s">
        <v>48</v>
      </c>
      <c r="F52" s="140" t="s">
        <v>431</v>
      </c>
      <c r="G52" s="57"/>
      <c r="H52" s="40">
        <v>0</v>
      </c>
      <c r="I52" s="78" t="s">
        <v>48</v>
      </c>
      <c r="J52" s="91"/>
      <c r="P52" s="146"/>
      <c r="Q52" s="643"/>
      <c r="R52" s="644"/>
      <c r="S52" s="644"/>
      <c r="T52" s="644"/>
      <c r="U52" s="644"/>
      <c r="V52" s="644"/>
      <c r="W52" s="644"/>
      <c r="X52" s="644"/>
      <c r="Y52" s="644"/>
      <c r="Z52" s="644"/>
      <c r="AA52" s="644"/>
    </row>
    <row r="53" spans="1:27" s="76" customFormat="1" ht="12.95" customHeight="1" thickBot="1">
      <c r="A53" s="136" t="s">
        <v>432</v>
      </c>
      <c r="B53" s="42" t="s">
        <v>244</v>
      </c>
      <c r="C53" s="44"/>
      <c r="D53" s="40">
        <v>0</v>
      </c>
      <c r="E53" s="91" t="s">
        <v>48</v>
      </c>
      <c r="F53" s="140" t="s">
        <v>433</v>
      </c>
      <c r="G53" s="57"/>
      <c r="H53" s="40">
        <v>0</v>
      </c>
      <c r="I53" s="78" t="s">
        <v>48</v>
      </c>
      <c r="J53" s="91"/>
      <c r="P53" s="146"/>
      <c r="Q53" s="643" t="s">
        <v>339</v>
      </c>
      <c r="R53" s="644"/>
      <c r="S53" s="644"/>
      <c r="T53" s="644"/>
      <c r="U53" s="644"/>
      <c r="V53" s="644"/>
      <c r="W53" s="644"/>
      <c r="X53" s="644"/>
      <c r="Y53" s="644"/>
      <c r="Z53" s="644"/>
      <c r="AA53" s="644"/>
    </row>
    <row r="54" spans="1:27" s="76" customFormat="1" ht="12.95" customHeight="1" thickBot="1">
      <c r="A54" s="136" t="s">
        <v>434</v>
      </c>
      <c r="B54" s="389" t="s">
        <v>245</v>
      </c>
      <c r="C54" s="46"/>
      <c r="D54" s="40">
        <v>0</v>
      </c>
      <c r="E54" s="91" t="s">
        <v>48</v>
      </c>
      <c r="F54" s="140" t="s">
        <v>435</v>
      </c>
      <c r="G54" s="57"/>
      <c r="H54" s="40">
        <v>0</v>
      </c>
      <c r="I54" s="78" t="s">
        <v>48</v>
      </c>
      <c r="J54" s="91"/>
      <c r="P54" s="146"/>
      <c r="Q54" s="643"/>
      <c r="R54" s="644"/>
      <c r="S54" s="644"/>
      <c r="T54" s="644"/>
      <c r="U54" s="644"/>
      <c r="V54" s="644"/>
      <c r="W54" s="644"/>
      <c r="X54" s="644"/>
      <c r="Y54" s="644"/>
      <c r="Z54" s="644"/>
      <c r="AA54" s="644"/>
    </row>
    <row r="55" spans="1:27" s="76" customFormat="1" ht="12.95" customHeight="1" thickBot="1">
      <c r="A55" s="137" t="s">
        <v>436</v>
      </c>
      <c r="B55" s="101" t="s">
        <v>246</v>
      </c>
      <c r="C55" s="63"/>
      <c r="D55" s="40">
        <v>0</v>
      </c>
      <c r="E55" s="93" t="s">
        <v>48</v>
      </c>
      <c r="F55" s="143" t="s">
        <v>437</v>
      </c>
      <c r="G55" s="95"/>
      <c r="H55" s="40">
        <v>0</v>
      </c>
      <c r="I55" s="85" t="s">
        <v>48</v>
      </c>
      <c r="J55" s="91"/>
      <c r="P55" s="146"/>
      <c r="Q55" s="643"/>
      <c r="R55" s="644"/>
      <c r="S55" s="644"/>
      <c r="T55" s="644"/>
      <c r="U55" s="644"/>
      <c r="V55" s="644"/>
      <c r="W55" s="644"/>
      <c r="X55" s="644"/>
      <c r="Y55" s="644"/>
      <c r="Z55" s="644"/>
      <c r="AA55" s="644"/>
    </row>
    <row r="56" spans="1:27" ht="6" customHeight="1" thickTop="1">
      <c r="C56" s="47"/>
      <c r="D56" s="48"/>
      <c r="E56" s="49"/>
      <c r="G56" s="47"/>
      <c r="H56" s="50"/>
      <c r="I56" s="50"/>
      <c r="J56" s="49"/>
      <c r="P56" s="145"/>
      <c r="Q56" s="148"/>
      <c r="R56" s="148"/>
      <c r="S56" s="148"/>
      <c r="T56" s="148"/>
      <c r="U56" s="148"/>
      <c r="V56" s="148"/>
      <c r="W56" s="148"/>
      <c r="X56" s="148"/>
      <c r="Y56" s="148"/>
      <c r="Z56" s="148"/>
      <c r="AA56" s="148"/>
    </row>
    <row r="57" spans="1:27" ht="6.75" customHeight="1">
      <c r="P57" s="145"/>
      <c r="Q57" s="148"/>
      <c r="R57" s="148"/>
      <c r="S57" s="148"/>
      <c r="T57" s="148"/>
      <c r="U57" s="148"/>
      <c r="V57" s="148"/>
      <c r="W57" s="148"/>
      <c r="X57" s="148"/>
      <c r="Y57" s="148"/>
      <c r="Z57" s="148"/>
      <c r="AA57" s="148"/>
    </row>
    <row r="58" spans="1:27">
      <c r="B58" t="s">
        <v>252</v>
      </c>
      <c r="P58" s="145"/>
      <c r="Q58" s="148" t="s">
        <v>492</v>
      </c>
      <c r="R58" s="148"/>
      <c r="S58" s="148"/>
      <c r="T58" s="148"/>
      <c r="U58" s="148"/>
      <c r="V58" s="148"/>
      <c r="W58" s="148"/>
      <c r="X58" s="148"/>
      <c r="Y58" s="148"/>
      <c r="Z58" s="148"/>
      <c r="AA58" s="148"/>
    </row>
    <row r="59" spans="1:27" ht="13.5" customHeight="1">
      <c r="B59" s="73" t="str">
        <f>"１　国外に居住している全ての"&amp;IF(計算シート!C69=0,"生計維持者","本人及び配偶者")&amp;"の情報を入力したうえで印刷し、収入等の証明書類（和訳付）を添付してください。扶養親族がいる"</f>
        <v>１　国外に居住している全ての生計維持者の情報を入力したうえで印刷し、収入等の証明書類（和訳付）を添付してください。扶養親族がいる</v>
      </c>
      <c r="P59" s="145"/>
      <c r="Q59" s="643" t="s">
        <v>503</v>
      </c>
      <c r="R59" s="644"/>
      <c r="S59" s="644"/>
      <c r="T59" s="644"/>
      <c r="U59" s="644"/>
      <c r="V59" s="644"/>
      <c r="W59" s="644"/>
      <c r="X59" s="644"/>
      <c r="Y59" s="644"/>
      <c r="Z59" s="644"/>
      <c r="AA59" s="644"/>
    </row>
    <row r="60" spans="1:27" ht="13.5" customHeight="1">
      <c r="B60" s="74" t="str">
        <f>"　場合、"&amp;IF(計算シート!C69=0,"生計維持","扶養")&amp;"者との関係を明らかにする書類も必要です。国内に居住している"&amp;IF(計算シート!C69=0,"生計維持者","本人又は配偶者")&amp;"については、マイナンバーを提出してください。"</f>
        <v>　場合、生計維持者との関係を明らかにする書類も必要です。国内に居住している生計維持者については、マイナンバーを提出してください。</v>
      </c>
      <c r="P60" s="145"/>
      <c r="Q60" s="643"/>
      <c r="R60" s="644"/>
      <c r="S60" s="644"/>
      <c r="T60" s="644"/>
      <c r="U60" s="644"/>
      <c r="V60" s="644"/>
      <c r="W60" s="644"/>
      <c r="X60" s="644"/>
      <c r="Y60" s="644"/>
      <c r="Z60" s="644"/>
      <c r="AA60" s="644"/>
    </row>
    <row r="61" spans="1:27">
      <c r="B61" s="74" t="str">
        <f>"２　選択肢に存在する通貨のレートは、日本銀行が報告する"&amp;YEAR(計算シート!C47)&amp;"年１月分の報告省令レートに基づき当機構が換算します。"</f>
        <v>２　選択肢に存在する通貨のレートは、日本銀行が報告する2026年１月分の報告省令レートに基づき当機構が換算します。</v>
      </c>
      <c r="P61" s="145"/>
      <c r="Q61" s="643"/>
      <c r="R61" s="644"/>
      <c r="S61" s="644"/>
      <c r="T61" s="644"/>
      <c r="U61" s="644"/>
      <c r="V61" s="644"/>
      <c r="W61" s="644"/>
      <c r="X61" s="644"/>
      <c r="Y61" s="644"/>
      <c r="Z61" s="644"/>
      <c r="AA61" s="644"/>
    </row>
    <row r="62" spans="1:27" ht="13.5" customHeight="1">
      <c r="B62" s="74" t="str">
        <f>"　選択肢に存在しない通貨については、入力時に米ドルに換算（"&amp;YEAR(計算シート!C47)&amp;"年1月1日時点のレート）して、米ドルを選択して入力してください。"</f>
        <v>　選択肢に存在しない通貨については、入力時に米ドルに換算（2026年1月1日時点のレート）して、米ドルを選択して入力してください。</v>
      </c>
      <c r="P62" s="145"/>
      <c r="Q62" s="643"/>
      <c r="R62" s="644"/>
      <c r="S62" s="644"/>
      <c r="T62" s="644"/>
      <c r="U62" s="644"/>
      <c r="V62" s="644"/>
      <c r="W62" s="644"/>
      <c r="X62" s="644"/>
      <c r="Y62" s="644"/>
      <c r="Z62" s="644"/>
      <c r="AA62" s="644"/>
    </row>
    <row r="63" spans="1:27" ht="13.5" customHeight="1">
      <c r="B63" s="74" t="s">
        <v>355</v>
      </c>
      <c r="P63" s="145"/>
      <c r="Q63" s="643" t="s">
        <v>502</v>
      </c>
      <c r="R63" s="644"/>
      <c r="S63" s="644"/>
      <c r="T63" s="644"/>
      <c r="U63" s="644"/>
      <c r="V63" s="644"/>
      <c r="W63" s="644"/>
      <c r="X63" s="644"/>
      <c r="Y63" s="644"/>
      <c r="Z63" s="644"/>
      <c r="AA63" s="644"/>
    </row>
    <row r="64" spans="1:27">
      <c r="B64" s="74" t="s">
        <v>247</v>
      </c>
      <c r="P64" s="145"/>
      <c r="Q64" s="643"/>
      <c r="R64" s="644"/>
      <c r="S64" s="644"/>
      <c r="T64" s="644"/>
      <c r="U64" s="644"/>
      <c r="V64" s="644"/>
      <c r="W64" s="644"/>
      <c r="X64" s="644"/>
      <c r="Y64" s="644"/>
      <c r="Z64" s="644"/>
      <c r="AA64" s="644"/>
    </row>
    <row r="65" spans="1:27">
      <c r="B65" s="274" t="str">
        <f>"　また、「扶養親族」とは、"&amp;IF(計算シート!C69=0,"生計維持者","扶養者")&amp;"の配偶者でない６親等内の血族又は３親等内の姻族で、他者の扶養親族になっておらず、合計所得金額が"</f>
        <v>　また、「扶養親族」とは、生計維持者の配偶者でない６親等内の血族又は３親等内の姻族で、他者の扶養親族になっておらず、合計所得金額が</v>
      </c>
      <c r="Q65" s="643"/>
      <c r="R65" s="644"/>
      <c r="S65" s="644"/>
      <c r="T65" s="644"/>
      <c r="U65" s="644"/>
      <c r="V65" s="644"/>
      <c r="W65" s="644"/>
      <c r="X65" s="644"/>
      <c r="Y65" s="644"/>
      <c r="Z65" s="644"/>
      <c r="AA65" s="644"/>
    </row>
    <row r="66" spans="1:27">
      <c r="B66" s="274" t="str">
        <f>"　48万円以下の、"&amp;IF(計算シート!C69=0,"生計維持者","扶養者")&amp;"と生計を一にしている者（住所は同一である必要はありません。）をいいますので、該当する者を申告してください。"</f>
        <v>　48万円以下の、生計維持者と生計を一にしている者（住所は同一である必要はありません。）をいいますので、該当する者を申告してください。</v>
      </c>
      <c r="Q66" s="643"/>
      <c r="R66" s="644"/>
      <c r="S66" s="644"/>
      <c r="T66" s="644"/>
      <c r="U66" s="644"/>
      <c r="V66" s="644"/>
      <c r="W66" s="644"/>
      <c r="X66" s="644"/>
      <c r="Y66" s="644"/>
      <c r="Z66" s="644"/>
      <c r="AA66" s="644"/>
    </row>
    <row r="67" spans="1:27" ht="10.5" customHeight="1">
      <c r="A67" s="116"/>
      <c r="B67" s="158" t="s">
        <v>356</v>
      </c>
      <c r="C67" s="116"/>
      <c r="D67" s="116"/>
      <c r="E67" s="116"/>
      <c r="F67" s="116"/>
      <c r="G67" s="116"/>
      <c r="H67" s="116"/>
      <c r="I67" s="116"/>
      <c r="J67" s="116"/>
      <c r="K67" s="116"/>
      <c r="L67" s="116"/>
      <c r="M67" s="116"/>
      <c r="N67" s="116"/>
      <c r="O67" s="116"/>
      <c r="P67" s="116"/>
      <c r="Q67" s="643"/>
      <c r="R67" s="644"/>
      <c r="S67" s="644"/>
      <c r="T67" s="644"/>
      <c r="U67" s="644"/>
      <c r="V67" s="644"/>
      <c r="W67" s="644"/>
      <c r="X67" s="644"/>
      <c r="Y67" s="644"/>
      <c r="Z67" s="644"/>
      <c r="AA67" s="644"/>
    </row>
    <row r="68" spans="1:27" ht="10.5" customHeight="1">
      <c r="B68" t="s">
        <v>243</v>
      </c>
      <c r="Q68" s="643"/>
      <c r="R68" s="644"/>
      <c r="S68" s="644"/>
      <c r="T68" s="644"/>
      <c r="U68" s="644"/>
      <c r="V68" s="644"/>
      <c r="W68" s="644"/>
      <c r="X68" s="644"/>
      <c r="Y68" s="644"/>
      <c r="Z68" s="644"/>
      <c r="AA68" s="644"/>
    </row>
    <row r="69" spans="1:27" ht="13.5" customHeight="1">
      <c r="A69" s="71"/>
      <c r="B69" s="106" t="s">
        <v>438</v>
      </c>
      <c r="C69" s="107"/>
      <c r="D69" s="108">
        <v>0</v>
      </c>
      <c r="E69" s="109"/>
      <c r="F69" s="651"/>
      <c r="G69" s="652"/>
      <c r="H69" s="652"/>
      <c r="I69" s="653"/>
      <c r="P69" s="145"/>
      <c r="Q69" s="643" t="s">
        <v>504</v>
      </c>
      <c r="R69" s="644"/>
      <c r="S69" s="644"/>
      <c r="T69" s="644"/>
      <c r="U69" s="644"/>
      <c r="V69" s="644"/>
      <c r="W69" s="644"/>
      <c r="X69" s="644"/>
      <c r="Y69" s="644"/>
      <c r="Z69" s="644"/>
      <c r="AA69" s="644"/>
    </row>
    <row r="70" spans="1:27" ht="10.5" customHeight="1">
      <c r="A70" s="72"/>
      <c r="B70" s="110" t="s">
        <v>439</v>
      </c>
      <c r="C70" s="111"/>
      <c r="D70" s="112">
        <v>0</v>
      </c>
      <c r="E70" s="113"/>
      <c r="F70" s="114"/>
      <c r="G70" s="114"/>
      <c r="H70" s="112">
        <v>0</v>
      </c>
      <c r="I70" s="115"/>
      <c r="P70" s="145"/>
      <c r="Q70" s="643"/>
      <c r="R70" s="644"/>
      <c r="S70" s="644"/>
      <c r="T70" s="644"/>
      <c r="U70" s="644"/>
      <c r="V70" s="644"/>
      <c r="W70" s="644"/>
      <c r="X70" s="644"/>
      <c r="Y70" s="644"/>
      <c r="Z70" s="644"/>
      <c r="AA70" s="644"/>
    </row>
    <row r="71" spans="1:27" ht="10.5" customHeight="1">
      <c r="B71" s="124" t="s">
        <v>440</v>
      </c>
      <c r="C71" s="125"/>
      <c r="D71" s="126">
        <v>0</v>
      </c>
      <c r="E71" s="109"/>
      <c r="F71" s="107"/>
      <c r="G71" s="107"/>
      <c r="H71" s="126">
        <v>0</v>
      </c>
      <c r="I71" s="127"/>
      <c r="P71" s="145"/>
      <c r="Q71" s="274" t="s">
        <v>363</v>
      </c>
      <c r="R71" s="304"/>
      <c r="S71" s="304"/>
      <c r="T71" s="304"/>
      <c r="U71" s="304"/>
      <c r="V71" s="304"/>
      <c r="W71" s="304"/>
      <c r="X71" s="304"/>
      <c r="Y71" s="304"/>
      <c r="Z71" s="304"/>
      <c r="AA71" s="304"/>
    </row>
    <row r="72" spans="1:27" ht="10.5" customHeight="1">
      <c r="B72" s="110" t="s">
        <v>441</v>
      </c>
      <c r="C72" s="111"/>
      <c r="D72" s="112">
        <v>0</v>
      </c>
      <c r="E72" s="113"/>
      <c r="F72" s="114"/>
      <c r="G72" s="114"/>
      <c r="H72" s="112">
        <v>0</v>
      </c>
      <c r="I72" s="115"/>
      <c r="P72" s="319">
        <f>MAX(修正履歴!A:A)</f>
        <v>46086</v>
      </c>
      <c r="Q72" s="274" t="s">
        <v>505</v>
      </c>
      <c r="R72" s="304"/>
      <c r="S72" s="304"/>
      <c r="T72" s="304"/>
      <c r="U72" s="304"/>
      <c r="V72" s="304"/>
      <c r="W72" s="304"/>
      <c r="X72" s="304"/>
      <c r="Y72" s="304"/>
      <c r="Z72" s="304"/>
      <c r="AA72" s="304"/>
    </row>
    <row r="73" spans="1:27" ht="10.5" customHeight="1"/>
  </sheetData>
  <protectedRanges>
    <protectedRange sqref="H8" name="範囲1"/>
    <protectedRange sqref="D19" name="範囲1_1"/>
    <protectedRange sqref="D31" name="範囲1_2"/>
    <protectedRange sqref="H31" name="範囲1_3"/>
  </protectedRanges>
  <mergeCells count="21">
    <mergeCell ref="F69:I69"/>
    <mergeCell ref="A1:I1"/>
    <mergeCell ref="Q1:AA1"/>
    <mergeCell ref="B5:I6"/>
    <mergeCell ref="Q7:AA8"/>
    <mergeCell ref="E8:G8"/>
    <mergeCell ref="E10:G10"/>
    <mergeCell ref="E12:G12"/>
    <mergeCell ref="Q4:AA6"/>
    <mergeCell ref="Q9:AA11"/>
    <mergeCell ref="Q12:AA14"/>
    <mergeCell ref="Q15:AA18"/>
    <mergeCell ref="Q24:AA27"/>
    <mergeCell ref="Q32:AA34"/>
    <mergeCell ref="Q38:AA45"/>
    <mergeCell ref="Q50:AA52"/>
    <mergeCell ref="Q46:AA49"/>
    <mergeCell ref="Q53:AA55"/>
    <mergeCell ref="Q69:AA70"/>
    <mergeCell ref="Q63:AA68"/>
    <mergeCell ref="Q59:AA62"/>
  </mergeCells>
  <phoneticPr fontId="2"/>
  <conditionalFormatting sqref="B22:D22">
    <cfRule type="expression" dxfId="8" priority="6">
      <formula>$D$21&lt;&gt;"特別の障がい者である"</formula>
    </cfRule>
  </conditionalFormatting>
  <conditionalFormatting sqref="B24:E27">
    <cfRule type="expression" dxfId="7" priority="7">
      <formula>$D$23="いいえ"</formula>
    </cfRule>
  </conditionalFormatting>
  <conditionalFormatting sqref="B33:E34">
    <cfRule type="expression" dxfId="6" priority="5">
      <formula>$D$32="いいえ"</formula>
    </cfRule>
  </conditionalFormatting>
  <conditionalFormatting sqref="B36:E36">
    <cfRule type="expression" dxfId="5" priority="10">
      <formula>$D$32="はい"</formula>
    </cfRule>
  </conditionalFormatting>
  <conditionalFormatting sqref="G30:I36">
    <cfRule type="expression" dxfId="4" priority="1">
      <formula>$D$32="いいえ"</formula>
    </cfRule>
  </conditionalFormatting>
  <conditionalFormatting sqref="G38:I44">
    <cfRule type="expression" dxfId="3" priority="3">
      <formula>$D$32="いいえ"</formula>
    </cfRule>
  </conditionalFormatting>
  <conditionalFormatting sqref="G47:I55">
    <cfRule type="expression" dxfId="2" priority="9">
      <formula>$D$32="いいえ"</formula>
    </cfRule>
  </conditionalFormatting>
  <conditionalFormatting sqref="H36">
    <cfRule type="expression" dxfId="1" priority="4">
      <formula>$D$32="はい"</formula>
    </cfRule>
  </conditionalFormatting>
  <conditionalFormatting sqref="H70:I72">
    <cfRule type="expression" dxfId="0" priority="8">
      <formula>OR($D$32="いいえ",$D$33="いいえ")</formula>
    </cfRule>
  </conditionalFormatting>
  <dataValidations count="5">
    <dataValidation type="date" allowBlank="1" showInputMessage="1" showErrorMessage="1" sqref="D19 D31 H31" xr:uid="{00000000-0002-0000-0300-000000000000}">
      <formula1>1</formula1>
      <formula2>73051</formula2>
    </dataValidation>
    <dataValidation type="whole" allowBlank="1" showInputMessage="1" showErrorMessage="1" sqref="D10" xr:uid="{00000000-0002-0000-0300-000001000000}">
      <formula1>2000</formula1>
      <formula2>9999</formula2>
    </dataValidation>
    <dataValidation type="list" allowBlank="1" showInputMessage="1" showErrorMessage="1" sqref="D22:D23" xr:uid="{00000000-0002-0000-0300-000002000000}">
      <formula1>$F$3:$F$4</formula1>
    </dataValidation>
    <dataValidation type="date" allowBlank="1" showInputMessage="1" showErrorMessage="1" sqref="H8" xr:uid="{00000000-0002-0000-0300-000003000000}">
      <formula1>1</formula1>
      <formula2>401404</formula2>
    </dataValidation>
    <dataValidation type="list" allowBlank="1" showInputMessage="1" showErrorMessage="1" sqref="H35" xr:uid="{00000000-0002-0000-0300-000004000000}">
      <formula1>$F$12:$F$13</formula1>
    </dataValidation>
  </dataValidations>
  <pageMargins left="0.43307086614173229" right="0.43307086614173229" top="0.35433070866141736" bottom="0.35433070866141736" header="0.11811023622047245" footer="0.11811023622047245"/>
  <pageSetup paperSize="9" scale="6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5000000}">
          <x14:formula1>
            <xm:f>'C:\Users\FAT019\Desktop\20200325\[海外居住者のための収入等申告書_20200106_5.xlsx]計算シート'!#REF!</xm:f>
          </x14:formula1>
          <xm:sqref>H10 D20:D21 D32:D36</xm:sqref>
        </x14:dataValidation>
        <x14:dataValidation type="list" allowBlank="1" showInputMessage="1" showErrorMessage="1" xr:uid="{00000000-0002-0000-0300-000006000000}">
          <x14:formula1>
            <xm:f>'C:\Users\FAT019\Desktop\20200325\[海外居住者のための収入等申告書_20200106_5.xlsx]前年レート'!#REF!</xm:f>
          </x14:formula1>
          <xm:sqref>D39 D43 H39 D41 H41 H43 D24 D26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78"/>
  <sheetViews>
    <sheetView workbookViewId="0">
      <selection activeCell="O25" sqref="O25"/>
    </sheetView>
  </sheetViews>
  <sheetFormatPr defaultColWidth="9" defaultRowHeight="14.25"/>
  <cols>
    <col min="1" max="1" width="2.625" style="1" customWidth="1"/>
    <col min="2" max="2" width="4.5" style="1" customWidth="1"/>
    <col min="3" max="3" width="6.125" style="1" customWidth="1"/>
    <col min="4" max="5" width="5.125" style="1" customWidth="1"/>
    <col min="6" max="6" width="6.625" style="1" customWidth="1"/>
    <col min="7" max="8" width="4.125" style="1" customWidth="1"/>
    <col min="9" max="9" width="5.625" style="1" customWidth="1"/>
    <col min="10" max="10" width="4.125" style="1" customWidth="1"/>
    <col min="11" max="11" width="11" style="1" customWidth="1"/>
    <col min="12" max="12" width="17.125" style="1" customWidth="1"/>
    <col min="13" max="13" width="6.25" style="1" customWidth="1"/>
    <col min="14" max="14" width="36.125" style="1" bestFit="1" customWidth="1"/>
    <col min="15" max="15" width="12.125" style="1" customWidth="1"/>
    <col min="16" max="16384" width="9" style="1"/>
  </cols>
  <sheetData>
    <row r="1" spans="1:22">
      <c r="A1" s="1" t="s">
        <v>458</v>
      </c>
    </row>
    <row r="3" spans="1:22" ht="17.25">
      <c r="A3" s="4" t="s">
        <v>774</v>
      </c>
      <c r="B3" s="5"/>
      <c r="C3" s="5"/>
      <c r="D3" s="5"/>
      <c r="E3" s="5"/>
      <c r="F3" s="5"/>
      <c r="G3" s="5"/>
      <c r="H3" s="5"/>
      <c r="I3" s="5"/>
      <c r="J3" s="6"/>
      <c r="K3" s="7">
        <v>45646</v>
      </c>
      <c r="L3" s="8"/>
    </row>
    <row r="4" spans="1:22">
      <c r="A4" s="9"/>
      <c r="K4" s="10" t="s">
        <v>775</v>
      </c>
      <c r="L4" s="11"/>
    </row>
    <row r="5" spans="1:22">
      <c r="A5" s="9"/>
      <c r="L5" s="12"/>
    </row>
    <row r="6" spans="1:22">
      <c r="A6" s="9"/>
      <c r="B6" s="1" t="s">
        <v>9</v>
      </c>
      <c r="L6" s="12"/>
    </row>
    <row r="7" spans="1:22">
      <c r="A7" s="9"/>
      <c r="B7" s="1" t="s">
        <v>776</v>
      </c>
      <c r="L7" s="12"/>
    </row>
    <row r="8" spans="1:22">
      <c r="A8" s="9"/>
      <c r="B8" s="1" t="s">
        <v>10</v>
      </c>
      <c r="L8" s="12"/>
    </row>
    <row r="9" spans="1:22">
      <c r="A9" s="9"/>
      <c r="C9" s="13"/>
      <c r="D9" s="13"/>
      <c r="F9" s="14"/>
      <c r="L9" s="12"/>
    </row>
    <row r="10" spans="1:22">
      <c r="A10" s="9"/>
      <c r="B10" s="15" t="s">
        <v>777</v>
      </c>
      <c r="F10" s="14"/>
      <c r="L10" s="12"/>
    </row>
    <row r="11" spans="1:22">
      <c r="A11" s="9"/>
      <c r="L11" s="12"/>
      <c r="M11" s="52" t="s">
        <v>47</v>
      </c>
      <c r="N11" s="52" t="s">
        <v>14</v>
      </c>
      <c r="O11" s="52" t="s">
        <v>15</v>
      </c>
    </row>
    <row r="12" spans="1:22">
      <c r="A12" s="9"/>
      <c r="K12" s="13"/>
      <c r="L12" s="16" t="s">
        <v>11</v>
      </c>
      <c r="M12" s="52">
        <v>1</v>
      </c>
      <c r="N12" s="52" t="s">
        <v>49</v>
      </c>
      <c r="O12" s="52">
        <v>1</v>
      </c>
    </row>
    <row r="13" spans="1:22">
      <c r="A13" s="9"/>
      <c r="B13" s="1">
        <v>157.83000000000001</v>
      </c>
      <c r="C13" s="17" t="s">
        <v>778</v>
      </c>
      <c r="D13" s="14">
        <f>B13</f>
        <v>157.83000000000001</v>
      </c>
      <c r="E13" s="1" t="s">
        <v>779</v>
      </c>
      <c r="I13" s="1" t="s">
        <v>6</v>
      </c>
      <c r="K13" s="18">
        <v>1</v>
      </c>
      <c r="L13" s="19" t="s">
        <v>7</v>
      </c>
      <c r="M13" s="52">
        <v>2</v>
      </c>
      <c r="N13" s="52" t="s">
        <v>662</v>
      </c>
      <c r="O13" s="52">
        <f>B13</f>
        <v>157.83000000000001</v>
      </c>
    </row>
    <row r="14" spans="1:22">
      <c r="A14" s="9"/>
      <c r="B14" s="1">
        <v>1</v>
      </c>
      <c r="C14" s="1" t="s">
        <v>780</v>
      </c>
      <c r="I14" s="1" t="s">
        <v>6</v>
      </c>
      <c r="K14" s="20" t="s">
        <v>781</v>
      </c>
      <c r="L14" s="19" t="s">
        <v>7</v>
      </c>
      <c r="M14" s="52">
        <v>3</v>
      </c>
      <c r="N14" s="52" t="s">
        <v>663</v>
      </c>
      <c r="O14" s="53">
        <f>VALUE($K14)/$B14*$B$13</f>
        <v>113.00628</v>
      </c>
      <c r="Q14" s="33"/>
      <c r="R14" s="32"/>
      <c r="S14" s="32"/>
      <c r="T14" s="32"/>
      <c r="V14" s="32">
        <f>VALUE($K14)/$B14*$B$13</f>
        <v>113.00628</v>
      </c>
    </row>
    <row r="15" spans="1:22">
      <c r="A15" s="9"/>
      <c r="B15" s="1">
        <v>1</v>
      </c>
      <c r="C15" s="1" t="s">
        <v>782</v>
      </c>
      <c r="I15" s="1" t="s">
        <v>8</v>
      </c>
      <c r="K15" s="20" t="s">
        <v>783</v>
      </c>
      <c r="L15" s="12" t="s">
        <v>8</v>
      </c>
      <c r="M15" s="52">
        <v>4</v>
      </c>
      <c r="N15" s="52" t="s">
        <v>664</v>
      </c>
      <c r="O15" s="53">
        <f t="shared" ref="O15:O74" si="0">VALUE($K15)/$B15*$B$13</f>
        <v>21.938370000000003</v>
      </c>
    </row>
    <row r="16" spans="1:22">
      <c r="A16" s="9"/>
      <c r="B16" s="1">
        <v>1</v>
      </c>
      <c r="C16" s="1" t="s">
        <v>784</v>
      </c>
      <c r="I16" s="1" t="s">
        <v>8</v>
      </c>
      <c r="K16" s="20" t="s">
        <v>747</v>
      </c>
      <c r="L16" s="12" t="s">
        <v>8</v>
      </c>
      <c r="M16" s="52">
        <v>5</v>
      </c>
      <c r="N16" s="52" t="s">
        <v>665</v>
      </c>
      <c r="O16" s="53">
        <f t="shared" si="0"/>
        <v>14.473011000000001</v>
      </c>
    </row>
    <row r="17" spans="1:15">
      <c r="A17" s="9"/>
      <c r="B17" s="1">
        <v>1</v>
      </c>
      <c r="C17" s="1" t="s">
        <v>785</v>
      </c>
      <c r="I17" s="1" t="s">
        <v>8</v>
      </c>
      <c r="K17" s="20" t="s">
        <v>786</v>
      </c>
      <c r="L17" s="12" t="s">
        <v>8</v>
      </c>
      <c r="M17" s="52">
        <v>6</v>
      </c>
      <c r="N17" s="52" t="s">
        <v>666</v>
      </c>
      <c r="O17" s="53">
        <f t="shared" si="0"/>
        <v>179.92619999999999</v>
      </c>
    </row>
    <row r="18" spans="1:15" ht="15.75" customHeight="1">
      <c r="A18" s="9"/>
      <c r="B18" s="1">
        <v>1</v>
      </c>
      <c r="C18" s="1" t="s">
        <v>787</v>
      </c>
      <c r="I18" s="1" t="s">
        <v>8</v>
      </c>
      <c r="K18" s="20" t="s">
        <v>788</v>
      </c>
      <c r="L18" s="12" t="s">
        <v>8</v>
      </c>
      <c r="M18" s="52">
        <v>7</v>
      </c>
      <c r="N18" s="52" t="s">
        <v>667</v>
      </c>
      <c r="O18" s="53">
        <f t="shared" si="0"/>
        <v>200.44410000000002</v>
      </c>
    </row>
    <row r="19" spans="1:15" ht="15.75" customHeight="1">
      <c r="A19" s="9"/>
      <c r="B19" s="1">
        <v>1</v>
      </c>
      <c r="C19" s="1" t="s">
        <v>789</v>
      </c>
      <c r="I19" s="1" t="s">
        <v>8</v>
      </c>
      <c r="K19" s="20" t="s">
        <v>790</v>
      </c>
      <c r="L19" s="12" t="s">
        <v>8</v>
      </c>
      <c r="M19" s="52">
        <v>8</v>
      </c>
      <c r="N19" s="52" t="s">
        <v>668</v>
      </c>
      <c r="O19" s="53">
        <f t="shared" si="0"/>
        <v>167.29980000000003</v>
      </c>
    </row>
    <row r="20" spans="1:15">
      <c r="A20" s="9"/>
      <c r="B20" s="1">
        <v>1</v>
      </c>
      <c r="C20" s="1" t="s">
        <v>791</v>
      </c>
      <c r="I20" s="1" t="s">
        <v>8</v>
      </c>
      <c r="K20" s="20" t="s">
        <v>725</v>
      </c>
      <c r="L20" s="12" t="s">
        <v>8</v>
      </c>
      <c r="M20" s="52">
        <v>9</v>
      </c>
      <c r="N20" s="52" t="s">
        <v>669</v>
      </c>
      <c r="O20" s="53">
        <f t="shared" si="0"/>
        <v>42.929760000000009</v>
      </c>
    </row>
    <row r="21" spans="1:15">
      <c r="A21" s="9"/>
      <c r="B21" s="1">
        <v>1</v>
      </c>
      <c r="C21" s="1" t="s">
        <v>792</v>
      </c>
      <c r="I21" s="1" t="s">
        <v>8</v>
      </c>
      <c r="K21" s="20" t="s">
        <v>793</v>
      </c>
      <c r="L21" s="12" t="s">
        <v>8</v>
      </c>
      <c r="M21" s="52">
        <v>10</v>
      </c>
      <c r="N21" s="52" t="s">
        <v>670</v>
      </c>
      <c r="O21" s="53">
        <f t="shared" si="0"/>
        <v>0.15783000000000003</v>
      </c>
    </row>
    <row r="22" spans="1:15">
      <c r="A22" s="9"/>
      <c r="B22" s="1">
        <v>1</v>
      </c>
      <c r="C22" s="1" t="s">
        <v>794</v>
      </c>
      <c r="I22" s="1" t="s">
        <v>8</v>
      </c>
      <c r="K22" s="20" t="s">
        <v>748</v>
      </c>
      <c r="L22" s="12" t="s">
        <v>8</v>
      </c>
      <c r="M22" s="52">
        <v>11</v>
      </c>
      <c r="N22" s="52" t="s">
        <v>671</v>
      </c>
      <c r="O22" s="53">
        <f t="shared" si="0"/>
        <v>42.456270000000004</v>
      </c>
    </row>
    <row r="23" spans="1:15">
      <c r="A23" s="9"/>
      <c r="B23" s="1">
        <v>1</v>
      </c>
      <c r="C23" s="1" t="s">
        <v>795</v>
      </c>
      <c r="F23" s="3"/>
      <c r="I23" s="1" t="s">
        <v>8</v>
      </c>
      <c r="K23" s="20" t="s">
        <v>743</v>
      </c>
      <c r="L23" s="12" t="s">
        <v>8</v>
      </c>
      <c r="M23" s="52">
        <v>12</v>
      </c>
      <c r="N23" s="52" t="s">
        <v>672</v>
      </c>
      <c r="O23" s="53">
        <f t="shared" si="0"/>
        <v>3.6300900000000002E-4</v>
      </c>
    </row>
    <row r="24" spans="1:15">
      <c r="A24" s="9"/>
      <c r="B24" s="1">
        <v>1</v>
      </c>
      <c r="C24" s="1" t="s">
        <v>796</v>
      </c>
      <c r="I24" s="1" t="s">
        <v>8</v>
      </c>
      <c r="K24" s="20" t="s">
        <v>797</v>
      </c>
      <c r="L24" s="12" t="s">
        <v>8</v>
      </c>
      <c r="M24" s="52">
        <v>13</v>
      </c>
      <c r="N24" s="52" t="s">
        <v>673</v>
      </c>
      <c r="O24" s="53">
        <f t="shared" si="0"/>
        <v>1.8781770000000002</v>
      </c>
    </row>
    <row r="25" spans="1:15">
      <c r="A25" s="9"/>
      <c r="B25" s="1">
        <v>100</v>
      </c>
      <c r="C25" s="1" t="s">
        <v>798</v>
      </c>
      <c r="I25" s="1" t="s">
        <v>8</v>
      </c>
      <c r="K25" s="20" t="s">
        <v>799</v>
      </c>
      <c r="L25" s="12" t="s">
        <v>8</v>
      </c>
      <c r="M25" s="52">
        <v>14</v>
      </c>
      <c r="N25" s="52" t="s">
        <v>674</v>
      </c>
      <c r="O25" s="53">
        <f t="shared" si="0"/>
        <v>9.9748560000000007E-3</v>
      </c>
    </row>
    <row r="26" spans="1:15">
      <c r="A26" s="9"/>
      <c r="B26" s="1">
        <v>1</v>
      </c>
      <c r="C26" s="1" t="s">
        <v>800</v>
      </c>
      <c r="I26" s="1" t="s">
        <v>8</v>
      </c>
      <c r="K26" s="20" t="s">
        <v>801</v>
      </c>
      <c r="L26" s="12" t="s">
        <v>8</v>
      </c>
      <c r="M26" s="52">
        <v>15</v>
      </c>
      <c r="N26" s="52" t="s">
        <v>310</v>
      </c>
      <c r="O26" s="53">
        <f t="shared" si="0"/>
        <v>103.06299000000001</v>
      </c>
    </row>
    <row r="27" spans="1:15">
      <c r="A27" s="9"/>
      <c r="B27" s="1">
        <v>1</v>
      </c>
      <c r="C27" s="1" t="s">
        <v>802</v>
      </c>
      <c r="G27" s="21"/>
      <c r="I27" s="1" t="s">
        <v>8</v>
      </c>
      <c r="K27" s="20" t="s">
        <v>452</v>
      </c>
      <c r="L27" s="12" t="s">
        <v>8</v>
      </c>
      <c r="M27" s="52">
        <v>16</v>
      </c>
      <c r="N27" s="52" t="s">
        <v>675</v>
      </c>
      <c r="O27" s="53">
        <f t="shared" si="0"/>
        <v>410.35800000000006</v>
      </c>
    </row>
    <row r="28" spans="1:15">
      <c r="A28" s="9"/>
      <c r="B28" s="1">
        <v>1</v>
      </c>
      <c r="C28" s="1" t="s">
        <v>803</v>
      </c>
      <c r="I28" s="1" t="s">
        <v>8</v>
      </c>
      <c r="K28" s="20" t="s">
        <v>745</v>
      </c>
      <c r="L28" s="12" t="s">
        <v>8</v>
      </c>
      <c r="M28" s="52">
        <v>17</v>
      </c>
      <c r="N28" s="52" t="s">
        <v>676</v>
      </c>
      <c r="O28" s="53">
        <f t="shared" si="0"/>
        <v>43.24542000000001</v>
      </c>
    </row>
    <row r="29" spans="1:15">
      <c r="A29" s="9"/>
      <c r="B29" s="1">
        <v>100</v>
      </c>
      <c r="C29" s="1" t="s">
        <v>804</v>
      </c>
      <c r="I29" s="1" t="s">
        <v>8</v>
      </c>
      <c r="K29" s="20" t="s">
        <v>805</v>
      </c>
      <c r="L29" s="12" t="s">
        <v>8</v>
      </c>
      <c r="M29" s="52">
        <v>18</v>
      </c>
      <c r="N29" s="52" t="s">
        <v>677</v>
      </c>
      <c r="O29" s="53">
        <f t="shared" si="0"/>
        <v>0.11316411</v>
      </c>
    </row>
    <row r="30" spans="1:15">
      <c r="A30" s="9"/>
      <c r="B30" s="1">
        <v>100</v>
      </c>
      <c r="C30" s="1" t="s">
        <v>806</v>
      </c>
      <c r="I30" s="1" t="s">
        <v>8</v>
      </c>
      <c r="K30" s="20" t="s">
        <v>807</v>
      </c>
      <c r="L30" s="12" t="s">
        <v>8</v>
      </c>
      <c r="M30" s="52">
        <v>19</v>
      </c>
      <c r="N30" s="52" t="s">
        <v>678</v>
      </c>
      <c r="O30" s="53">
        <f t="shared" si="0"/>
        <v>3.8984009999999999E-2</v>
      </c>
    </row>
    <row r="31" spans="1:15">
      <c r="A31" s="9"/>
      <c r="B31" s="1">
        <v>1</v>
      </c>
      <c r="C31" s="1" t="s">
        <v>808</v>
      </c>
      <c r="I31" s="1" t="s">
        <v>8</v>
      </c>
      <c r="K31" s="20" t="s">
        <v>809</v>
      </c>
      <c r="L31" s="12" t="s">
        <v>8</v>
      </c>
      <c r="M31" s="52">
        <v>20</v>
      </c>
      <c r="N31" s="52" t="s">
        <v>679</v>
      </c>
      <c r="O31" s="53">
        <f t="shared" si="0"/>
        <v>512.94749999999999</v>
      </c>
    </row>
    <row r="32" spans="1:15">
      <c r="A32" s="9"/>
      <c r="B32" s="1">
        <v>1</v>
      </c>
      <c r="C32" s="1" t="s">
        <v>810</v>
      </c>
      <c r="I32" s="1" t="s">
        <v>8</v>
      </c>
      <c r="K32" s="20" t="s">
        <v>811</v>
      </c>
      <c r="L32" s="12" t="s">
        <v>8</v>
      </c>
      <c r="M32" s="52">
        <v>21</v>
      </c>
      <c r="N32" s="52" t="s">
        <v>680</v>
      </c>
      <c r="O32" s="53">
        <f t="shared" si="0"/>
        <v>1.2216042000000003</v>
      </c>
    </row>
    <row r="33" spans="1:15">
      <c r="A33" s="9"/>
      <c r="B33" s="1">
        <v>100</v>
      </c>
      <c r="C33" s="1" t="s">
        <v>812</v>
      </c>
      <c r="I33" s="1" t="s">
        <v>8</v>
      </c>
      <c r="K33" s="20" t="s">
        <v>813</v>
      </c>
      <c r="L33" s="12" t="s">
        <v>8</v>
      </c>
      <c r="M33" s="52">
        <v>22</v>
      </c>
      <c r="N33" s="52" t="s">
        <v>681</v>
      </c>
      <c r="O33" s="53">
        <f t="shared" si="0"/>
        <v>3.5827410000000004E-2</v>
      </c>
    </row>
    <row r="34" spans="1:15">
      <c r="A34" s="9"/>
      <c r="B34" s="1">
        <v>1</v>
      </c>
      <c r="C34" s="1" t="s">
        <v>814</v>
      </c>
      <c r="I34" s="1" t="s">
        <v>8</v>
      </c>
      <c r="K34" s="20" t="s">
        <v>726</v>
      </c>
      <c r="L34" s="12" t="s">
        <v>8</v>
      </c>
      <c r="M34" s="52">
        <v>23</v>
      </c>
      <c r="N34" s="52" t="s">
        <v>682</v>
      </c>
      <c r="O34" s="53">
        <f t="shared" si="0"/>
        <v>41.982780000000005</v>
      </c>
    </row>
    <row r="35" spans="1:15">
      <c r="A35" s="9"/>
      <c r="B35" s="1">
        <v>1</v>
      </c>
      <c r="C35" s="1" t="s">
        <v>815</v>
      </c>
      <c r="I35" s="1" t="s">
        <v>8</v>
      </c>
      <c r="K35" s="20" t="s">
        <v>816</v>
      </c>
      <c r="L35" s="12" t="s">
        <v>8</v>
      </c>
      <c r="M35" s="52">
        <v>24</v>
      </c>
      <c r="N35" s="52" t="s">
        <v>683</v>
      </c>
      <c r="O35" s="53">
        <f t="shared" si="0"/>
        <v>118.05684000000001</v>
      </c>
    </row>
    <row r="36" spans="1:15">
      <c r="A36" s="9"/>
      <c r="B36" s="1">
        <v>100</v>
      </c>
      <c r="C36" s="1" t="s">
        <v>817</v>
      </c>
      <c r="I36" s="1" t="s">
        <v>8</v>
      </c>
      <c r="K36" s="20" t="s">
        <v>818</v>
      </c>
      <c r="L36" s="12" t="s">
        <v>8</v>
      </c>
      <c r="M36" s="52">
        <v>25</v>
      </c>
      <c r="N36" s="52" t="s">
        <v>684</v>
      </c>
      <c r="O36" s="53">
        <f t="shared" si="0"/>
        <v>4.8769469999999995</v>
      </c>
    </row>
    <row r="37" spans="1:15">
      <c r="A37" s="9"/>
      <c r="B37" s="1">
        <v>100</v>
      </c>
      <c r="C37" s="1" t="s">
        <v>819</v>
      </c>
      <c r="I37" s="1" t="s">
        <v>8</v>
      </c>
      <c r="K37" s="20" t="s">
        <v>820</v>
      </c>
      <c r="L37" s="12" t="s">
        <v>8</v>
      </c>
      <c r="M37" s="52">
        <v>26</v>
      </c>
      <c r="N37" s="52" t="s">
        <v>685</v>
      </c>
      <c r="O37" s="53">
        <f t="shared" si="0"/>
        <v>0.54135690000000014</v>
      </c>
    </row>
    <row r="38" spans="1:15">
      <c r="A38" s="9"/>
      <c r="B38" s="1">
        <v>1</v>
      </c>
      <c r="C38" s="1" t="s">
        <v>821</v>
      </c>
      <c r="I38" s="1" t="s">
        <v>8</v>
      </c>
      <c r="K38" s="20" t="s">
        <v>822</v>
      </c>
      <c r="L38" s="12" t="s">
        <v>8</v>
      </c>
      <c r="M38" s="52">
        <v>27</v>
      </c>
      <c r="N38" s="52" t="s">
        <v>686</v>
      </c>
      <c r="O38" s="53">
        <f t="shared" si="0"/>
        <v>11.221713000000001</v>
      </c>
    </row>
    <row r="39" spans="1:15">
      <c r="A39" s="9"/>
      <c r="B39" s="1">
        <v>100</v>
      </c>
      <c r="C39" s="1" t="s">
        <v>823</v>
      </c>
      <c r="I39" s="1" t="s">
        <v>8</v>
      </c>
      <c r="K39" s="20" t="s">
        <v>824</v>
      </c>
      <c r="L39" s="12" t="s">
        <v>8</v>
      </c>
      <c r="M39" s="52">
        <v>28</v>
      </c>
      <c r="N39" s="52" t="s">
        <v>687</v>
      </c>
      <c r="O39" s="53">
        <f t="shared" si="0"/>
        <v>4.57707</v>
      </c>
    </row>
    <row r="40" spans="1:15">
      <c r="A40" s="9"/>
      <c r="B40" s="1">
        <v>100</v>
      </c>
      <c r="C40" s="1" t="s">
        <v>825</v>
      </c>
      <c r="I40" s="1" t="s">
        <v>8</v>
      </c>
      <c r="K40" s="20" t="s">
        <v>826</v>
      </c>
      <c r="L40" s="12" t="s">
        <v>8</v>
      </c>
      <c r="M40" s="52">
        <v>29</v>
      </c>
      <c r="N40" s="52" t="s">
        <v>688</v>
      </c>
      <c r="O40" s="53">
        <f t="shared" si="0"/>
        <v>1.4094219000000001</v>
      </c>
    </row>
    <row r="41" spans="1:15">
      <c r="A41" s="9"/>
      <c r="B41" s="1">
        <v>1</v>
      </c>
      <c r="C41" s="1" t="s">
        <v>827</v>
      </c>
      <c r="I41" s="1" t="s">
        <v>8</v>
      </c>
      <c r="K41" s="20" t="s">
        <v>828</v>
      </c>
      <c r="L41" s="12" t="s">
        <v>8</v>
      </c>
      <c r="M41" s="52">
        <v>30</v>
      </c>
      <c r="N41" s="52" t="s">
        <v>689</v>
      </c>
      <c r="O41" s="53">
        <f t="shared" si="0"/>
        <v>6.6288600000000013</v>
      </c>
    </row>
    <row r="42" spans="1:15">
      <c r="A42" s="9"/>
      <c r="B42" s="1">
        <v>100</v>
      </c>
      <c r="C42" s="1" t="s">
        <v>829</v>
      </c>
      <c r="I42" s="1" t="s">
        <v>8</v>
      </c>
      <c r="K42" s="20" t="s">
        <v>830</v>
      </c>
      <c r="L42" s="12" t="s">
        <v>8</v>
      </c>
      <c r="M42" s="52">
        <v>31</v>
      </c>
      <c r="N42" s="52" t="s">
        <v>690</v>
      </c>
      <c r="O42" s="53">
        <f t="shared" si="0"/>
        <v>0.16256489999999998</v>
      </c>
    </row>
    <row r="43" spans="1:15">
      <c r="A43" s="9"/>
      <c r="B43" s="1">
        <v>1</v>
      </c>
      <c r="C43" s="1" t="s">
        <v>831</v>
      </c>
      <c r="I43" s="1" t="s">
        <v>8</v>
      </c>
      <c r="K43" s="20" t="s">
        <v>832</v>
      </c>
      <c r="L43" s="12" t="s">
        <v>8</v>
      </c>
      <c r="M43" s="52">
        <v>32</v>
      </c>
      <c r="N43" s="52" t="s">
        <v>691</v>
      </c>
      <c r="O43" s="53">
        <f t="shared" si="0"/>
        <v>22.411860000000001</v>
      </c>
    </row>
    <row r="44" spans="1:15">
      <c r="A44" s="9"/>
      <c r="B44" s="1">
        <v>1</v>
      </c>
      <c r="C44" s="1" t="s">
        <v>833</v>
      </c>
      <c r="I44" s="1" t="s">
        <v>8</v>
      </c>
      <c r="K44" s="20" t="s">
        <v>727</v>
      </c>
      <c r="L44" s="12" t="s">
        <v>8</v>
      </c>
      <c r="M44" s="52">
        <v>33</v>
      </c>
      <c r="N44" s="52" t="s">
        <v>692</v>
      </c>
      <c r="O44" s="53">
        <f t="shared" si="0"/>
        <v>23.358840000000001</v>
      </c>
    </row>
    <row r="45" spans="1:15">
      <c r="A45" s="9"/>
      <c r="B45" s="1">
        <v>1</v>
      </c>
      <c r="C45" s="1" t="s">
        <v>834</v>
      </c>
      <c r="I45" s="1" t="s">
        <v>8</v>
      </c>
      <c r="K45" s="20" t="s">
        <v>835</v>
      </c>
      <c r="L45" s="12" t="s">
        <v>8</v>
      </c>
      <c r="M45" s="52">
        <v>34</v>
      </c>
      <c r="N45" s="52" t="s">
        <v>693</v>
      </c>
      <c r="O45" s="53">
        <f t="shared" si="0"/>
        <v>4.5770700000000009</v>
      </c>
    </row>
    <row r="46" spans="1:15">
      <c r="A46" s="9"/>
      <c r="B46" s="1">
        <v>1</v>
      </c>
      <c r="C46" s="1" t="s">
        <v>836</v>
      </c>
      <c r="I46" s="1" t="s">
        <v>8</v>
      </c>
      <c r="K46" s="20" t="s">
        <v>837</v>
      </c>
      <c r="L46" s="12" t="s">
        <v>8</v>
      </c>
      <c r="M46" s="52">
        <v>35</v>
      </c>
      <c r="N46" s="52" t="s">
        <v>694</v>
      </c>
      <c r="O46" s="53">
        <f t="shared" si="0"/>
        <v>9.4224510000000011E-2</v>
      </c>
    </row>
    <row r="47" spans="1:15">
      <c r="A47" s="9"/>
      <c r="B47" s="1">
        <v>1</v>
      </c>
      <c r="C47" s="1" t="s">
        <v>838</v>
      </c>
      <c r="I47" s="1" t="s">
        <v>8</v>
      </c>
      <c r="K47" s="20" t="s">
        <v>839</v>
      </c>
      <c r="L47" s="12" t="s">
        <v>8</v>
      </c>
      <c r="M47" s="52">
        <v>36</v>
      </c>
      <c r="N47" s="52" t="s">
        <v>695</v>
      </c>
      <c r="O47" s="53">
        <f t="shared" si="0"/>
        <v>93.277529999999999</v>
      </c>
    </row>
    <row r="48" spans="1:15">
      <c r="A48" s="9"/>
      <c r="B48" s="1">
        <v>1</v>
      </c>
      <c r="C48" s="1" t="s">
        <v>840</v>
      </c>
      <c r="I48" s="1" t="s">
        <v>8</v>
      </c>
      <c r="K48" s="20" t="s">
        <v>841</v>
      </c>
      <c r="L48" s="12" t="s">
        <v>8</v>
      </c>
      <c r="M48" s="52">
        <v>37</v>
      </c>
      <c r="N48" s="52" t="s">
        <v>696</v>
      </c>
      <c r="O48" s="53">
        <f t="shared" si="0"/>
        <v>14.283615000000001</v>
      </c>
    </row>
    <row r="49" spans="1:15">
      <c r="A49" s="9"/>
      <c r="B49" s="1">
        <v>1</v>
      </c>
      <c r="C49" s="1" t="s">
        <v>842</v>
      </c>
      <c r="I49" s="1" t="s">
        <v>8</v>
      </c>
      <c r="K49" s="20" t="s">
        <v>843</v>
      </c>
      <c r="L49" s="12" t="s">
        <v>8</v>
      </c>
      <c r="M49" s="52">
        <v>38</v>
      </c>
      <c r="N49" s="52" t="s">
        <v>697</v>
      </c>
      <c r="O49" s="53">
        <f t="shared" si="0"/>
        <v>0.56818800000000003</v>
      </c>
    </row>
    <row r="50" spans="1:15">
      <c r="A50" s="9"/>
      <c r="B50" s="1">
        <v>100</v>
      </c>
      <c r="C50" s="1" t="s">
        <v>844</v>
      </c>
      <c r="I50" s="1" t="s">
        <v>8</v>
      </c>
      <c r="K50" s="20" t="s">
        <v>845</v>
      </c>
      <c r="L50" s="12" t="s">
        <v>846</v>
      </c>
      <c r="M50" s="52">
        <v>39</v>
      </c>
      <c r="N50" s="52" t="s">
        <v>698</v>
      </c>
      <c r="O50" s="53">
        <f t="shared" si="0"/>
        <v>1.2973626</v>
      </c>
    </row>
    <row r="51" spans="1:15">
      <c r="A51" s="9"/>
      <c r="B51" s="1">
        <v>1</v>
      </c>
      <c r="C51" s="1" t="s">
        <v>847</v>
      </c>
      <c r="I51" s="1" t="s">
        <v>8</v>
      </c>
      <c r="K51" s="20" t="s">
        <v>848</v>
      </c>
      <c r="L51" s="12" t="s">
        <v>8</v>
      </c>
      <c r="M51" s="52">
        <v>40</v>
      </c>
      <c r="N51" s="52" t="s">
        <v>699</v>
      </c>
      <c r="O51" s="53">
        <f t="shared" si="0"/>
        <v>39.930990000000001</v>
      </c>
    </row>
    <row r="52" spans="1:15">
      <c r="A52" s="9"/>
      <c r="B52" s="1">
        <v>1</v>
      </c>
      <c r="C52" s="1" t="s">
        <v>849</v>
      </c>
      <c r="I52" s="1" t="s">
        <v>8</v>
      </c>
      <c r="K52" s="20" t="s">
        <v>728</v>
      </c>
      <c r="L52" s="12" t="s">
        <v>8</v>
      </c>
      <c r="M52" s="52">
        <v>41</v>
      </c>
      <c r="N52" s="52" t="s">
        <v>700</v>
      </c>
      <c r="O52" s="53">
        <f t="shared" si="0"/>
        <v>418.24950000000001</v>
      </c>
    </row>
    <row r="53" spans="1:15">
      <c r="A53" s="9"/>
      <c r="B53" s="1">
        <v>100</v>
      </c>
      <c r="C53" s="1" t="s">
        <v>850</v>
      </c>
      <c r="I53" s="1" t="s">
        <v>8</v>
      </c>
      <c r="K53" s="20" t="s">
        <v>851</v>
      </c>
      <c r="L53" s="12" t="s">
        <v>8</v>
      </c>
      <c r="M53" s="52">
        <v>42</v>
      </c>
      <c r="N53" s="52" t="s">
        <v>701</v>
      </c>
      <c r="O53" s="53">
        <f t="shared" si="0"/>
        <v>0.40877970000000008</v>
      </c>
    </row>
    <row r="54" spans="1:15">
      <c r="A54" s="9"/>
      <c r="B54" s="1">
        <v>100</v>
      </c>
      <c r="C54" s="1" t="s">
        <v>852</v>
      </c>
      <c r="I54" s="1" t="s">
        <v>8</v>
      </c>
      <c r="K54" s="20" t="s">
        <v>853</v>
      </c>
      <c r="L54" s="12" t="s">
        <v>8</v>
      </c>
      <c r="M54" s="52">
        <v>43</v>
      </c>
      <c r="N54" s="52" t="s">
        <v>702</v>
      </c>
      <c r="O54" s="53">
        <f t="shared" si="0"/>
        <v>1.3210370999999999</v>
      </c>
    </row>
    <row r="55" spans="1:15">
      <c r="A55" s="9"/>
      <c r="B55" s="1">
        <v>1</v>
      </c>
      <c r="C55" s="1" t="s">
        <v>854</v>
      </c>
      <c r="I55" s="1" t="s">
        <v>8</v>
      </c>
      <c r="K55" s="20" t="s">
        <v>855</v>
      </c>
      <c r="L55" s="12" t="s">
        <v>8</v>
      </c>
      <c r="M55" s="52">
        <v>44</v>
      </c>
      <c r="N55" s="52" t="s">
        <v>703</v>
      </c>
      <c r="O55" s="53">
        <f t="shared" si="0"/>
        <v>69.28737000000001</v>
      </c>
    </row>
    <row r="56" spans="1:15">
      <c r="A56" s="9"/>
      <c r="B56" s="1">
        <v>1</v>
      </c>
      <c r="C56" s="1" t="s">
        <v>856</v>
      </c>
      <c r="I56" s="1" t="s">
        <v>8</v>
      </c>
      <c r="K56" s="20" t="s">
        <v>857</v>
      </c>
      <c r="L56" s="12" t="s">
        <v>8</v>
      </c>
      <c r="M56" s="52">
        <v>45</v>
      </c>
      <c r="N56" s="52" t="s">
        <v>704</v>
      </c>
      <c r="O56" s="53">
        <f t="shared" si="0"/>
        <v>2.6831100000000006</v>
      </c>
    </row>
    <row r="57" spans="1:15">
      <c r="A57" s="9"/>
      <c r="B57" s="1">
        <v>1</v>
      </c>
      <c r="C57" s="1" t="s">
        <v>858</v>
      </c>
      <c r="I57" s="1" t="s">
        <v>8</v>
      </c>
      <c r="K57" s="20" t="s">
        <v>859</v>
      </c>
      <c r="L57" s="12" t="s">
        <v>8</v>
      </c>
      <c r="M57" s="52">
        <v>46</v>
      </c>
      <c r="N57" s="52" t="s">
        <v>705</v>
      </c>
      <c r="O57" s="53">
        <f t="shared" si="0"/>
        <v>27.14676</v>
      </c>
    </row>
    <row r="58" spans="1:15">
      <c r="A58" s="9"/>
      <c r="B58" s="1">
        <v>1</v>
      </c>
      <c r="C58" s="1" t="s">
        <v>860</v>
      </c>
      <c r="I58" s="1" t="s">
        <v>8</v>
      </c>
      <c r="K58" s="20" t="s">
        <v>816</v>
      </c>
      <c r="L58" s="12" t="s">
        <v>8</v>
      </c>
      <c r="M58" s="52">
        <v>47</v>
      </c>
      <c r="N58" s="52" t="s">
        <v>706</v>
      </c>
      <c r="O58" s="53">
        <f t="shared" si="0"/>
        <v>118.05684000000001</v>
      </c>
    </row>
    <row r="59" spans="1:15">
      <c r="A59" s="9"/>
      <c r="B59" s="1">
        <v>100</v>
      </c>
      <c r="C59" s="1" t="s">
        <v>861</v>
      </c>
      <c r="I59" s="1" t="s">
        <v>8</v>
      </c>
      <c r="K59" s="20" t="s">
        <v>862</v>
      </c>
      <c r="L59" s="12" t="s">
        <v>8</v>
      </c>
      <c r="M59" s="52">
        <v>48</v>
      </c>
      <c r="N59" s="52" t="s">
        <v>707</v>
      </c>
      <c r="O59" s="53">
        <f t="shared" si="0"/>
        <v>6.2185020000000008E-3</v>
      </c>
    </row>
    <row r="60" spans="1:15">
      <c r="A60" s="9"/>
      <c r="B60" s="1">
        <v>1</v>
      </c>
      <c r="C60" s="1" t="s">
        <v>863</v>
      </c>
      <c r="I60" s="1" t="s">
        <v>8</v>
      </c>
      <c r="K60" s="20" t="s">
        <v>864</v>
      </c>
      <c r="L60" s="12" t="s">
        <v>8</v>
      </c>
      <c r="M60" s="52">
        <v>49</v>
      </c>
      <c r="N60" s="52" t="s">
        <v>708</v>
      </c>
      <c r="O60" s="53">
        <f t="shared" si="0"/>
        <v>3.5038260000000006</v>
      </c>
    </row>
    <row r="61" spans="1:15">
      <c r="A61" s="9"/>
      <c r="B61" s="1">
        <v>1</v>
      </c>
      <c r="C61" s="1" t="s">
        <v>865</v>
      </c>
      <c r="I61" s="1" t="s">
        <v>8</v>
      </c>
      <c r="K61" s="20" t="s">
        <v>866</v>
      </c>
      <c r="L61" s="12" t="s">
        <v>8</v>
      </c>
      <c r="M61" s="52">
        <v>50</v>
      </c>
      <c r="N61" s="52" t="s">
        <v>709</v>
      </c>
      <c r="O61" s="53">
        <f t="shared" si="0"/>
        <v>41.824950000000008</v>
      </c>
    </row>
    <row r="62" spans="1:15">
      <c r="A62" s="9"/>
      <c r="B62" s="1">
        <v>1</v>
      </c>
      <c r="C62" s="1" t="s">
        <v>867</v>
      </c>
      <c r="I62" s="1" t="s">
        <v>8</v>
      </c>
      <c r="K62" s="20" t="s">
        <v>868</v>
      </c>
      <c r="L62" s="12" t="s">
        <v>8</v>
      </c>
      <c r="M62" s="52">
        <v>51</v>
      </c>
      <c r="N62" s="52" t="s">
        <v>710</v>
      </c>
      <c r="O62" s="53">
        <f t="shared" si="0"/>
        <v>38.668350000000004</v>
      </c>
    </row>
    <row r="63" spans="1:15">
      <c r="A63" s="9"/>
      <c r="B63" s="1">
        <v>1</v>
      </c>
      <c r="C63" s="1" t="s">
        <v>869</v>
      </c>
      <c r="I63" s="1" t="s">
        <v>8</v>
      </c>
      <c r="K63" s="20" t="s">
        <v>870</v>
      </c>
      <c r="L63" s="12" t="s">
        <v>8</v>
      </c>
      <c r="M63" s="52">
        <v>52</v>
      </c>
      <c r="N63" s="52" t="s">
        <v>711</v>
      </c>
      <c r="O63" s="53">
        <f t="shared" si="0"/>
        <v>20.360070000000004</v>
      </c>
    </row>
    <row r="64" spans="1:15">
      <c r="A64" s="9"/>
      <c r="B64" s="1">
        <v>1</v>
      </c>
      <c r="C64" s="1" t="s">
        <v>871</v>
      </c>
      <c r="I64" s="1" t="s">
        <v>8</v>
      </c>
      <c r="K64" s="20" t="s">
        <v>872</v>
      </c>
      <c r="L64" s="12" t="s">
        <v>8</v>
      </c>
      <c r="M64" s="52">
        <v>53</v>
      </c>
      <c r="N64" s="52" t="s">
        <v>712</v>
      </c>
      <c r="O64" s="53">
        <f t="shared" si="0"/>
        <v>35.511750000000006</v>
      </c>
    </row>
    <row r="65" spans="1:15">
      <c r="A65" s="9"/>
      <c r="B65" s="1">
        <v>1</v>
      </c>
      <c r="C65" s="1" t="s">
        <v>873</v>
      </c>
      <c r="I65" s="1" t="s">
        <v>8</v>
      </c>
      <c r="K65" s="20" t="s">
        <v>874</v>
      </c>
      <c r="L65" s="12" t="s">
        <v>8</v>
      </c>
      <c r="M65" s="52">
        <v>54</v>
      </c>
      <c r="N65" s="52" t="s">
        <v>713</v>
      </c>
      <c r="O65" s="53">
        <f t="shared" si="0"/>
        <v>8.791131</v>
      </c>
    </row>
    <row r="66" spans="1:15">
      <c r="A66" s="9"/>
      <c r="B66" s="1">
        <v>1</v>
      </c>
      <c r="C66" s="1" t="s">
        <v>875</v>
      </c>
      <c r="I66" s="1" t="s">
        <v>8</v>
      </c>
      <c r="K66" s="20" t="s">
        <v>729</v>
      </c>
      <c r="L66" s="12" t="s">
        <v>8</v>
      </c>
      <c r="M66" s="52">
        <v>55</v>
      </c>
      <c r="N66" s="52" t="s">
        <v>714</v>
      </c>
      <c r="O66" s="53">
        <f t="shared" si="0"/>
        <v>7.5127080000000013E-2</v>
      </c>
    </row>
    <row r="67" spans="1:15">
      <c r="A67" s="9"/>
      <c r="B67" s="1">
        <v>1</v>
      </c>
      <c r="C67" s="1" t="s">
        <v>876</v>
      </c>
      <c r="I67" s="1" t="s">
        <v>8</v>
      </c>
      <c r="K67" s="20" t="s">
        <v>877</v>
      </c>
      <c r="L67" s="12" t="s">
        <v>8</v>
      </c>
      <c r="M67" s="52">
        <v>56</v>
      </c>
      <c r="N67" s="52" t="s">
        <v>715</v>
      </c>
      <c r="O67" s="53">
        <f t="shared" si="0"/>
        <v>7.7652360000000007</v>
      </c>
    </row>
    <row r="68" spans="1:15">
      <c r="A68" s="9"/>
      <c r="B68" s="1">
        <v>1</v>
      </c>
      <c r="C68" s="1" t="s">
        <v>878</v>
      </c>
      <c r="I68" s="1" t="s">
        <v>8</v>
      </c>
      <c r="K68" s="20" t="s">
        <v>879</v>
      </c>
      <c r="L68" s="12" t="s">
        <v>8</v>
      </c>
      <c r="M68" s="52">
        <v>57</v>
      </c>
      <c r="N68" s="52" t="s">
        <v>716</v>
      </c>
      <c r="O68" s="53">
        <f t="shared" si="0"/>
        <v>3.3933450000000001</v>
      </c>
    </row>
    <row r="69" spans="1:15">
      <c r="A69" s="9"/>
      <c r="B69" s="1">
        <v>1</v>
      </c>
      <c r="C69" s="1" t="s">
        <v>880</v>
      </c>
      <c r="I69" s="1" t="s">
        <v>8</v>
      </c>
      <c r="K69" s="20" t="s">
        <v>881</v>
      </c>
      <c r="L69" s="12" t="s">
        <v>8</v>
      </c>
      <c r="M69" s="52">
        <v>58</v>
      </c>
      <c r="N69" s="52" t="s">
        <v>717</v>
      </c>
      <c r="O69" s="53">
        <f t="shared" si="0"/>
        <v>15.940830000000002</v>
      </c>
    </row>
    <row r="70" spans="1:15">
      <c r="A70" s="9"/>
      <c r="B70" s="1">
        <v>1</v>
      </c>
      <c r="C70" s="1" t="s">
        <v>882</v>
      </c>
      <c r="I70" s="1" t="s">
        <v>8</v>
      </c>
      <c r="K70" s="20" t="s">
        <v>730</v>
      </c>
      <c r="L70" s="12" t="s">
        <v>8</v>
      </c>
      <c r="M70" s="52">
        <v>59</v>
      </c>
      <c r="N70" s="52" t="s">
        <v>718</v>
      </c>
      <c r="O70" s="53">
        <f t="shared" si="0"/>
        <v>222.5403</v>
      </c>
    </row>
    <row r="71" spans="1:15">
      <c r="A71" s="9"/>
      <c r="B71" s="1">
        <v>100</v>
      </c>
      <c r="C71" s="1" t="s">
        <v>883</v>
      </c>
      <c r="I71" s="1" t="s">
        <v>8</v>
      </c>
      <c r="K71" s="20" t="s">
        <v>884</v>
      </c>
      <c r="L71" s="12" t="s">
        <v>8</v>
      </c>
      <c r="M71" s="52">
        <v>60</v>
      </c>
      <c r="N71" s="52" t="s">
        <v>719</v>
      </c>
      <c r="O71" s="53">
        <f t="shared" si="0"/>
        <v>7.1970480000000002E-3</v>
      </c>
    </row>
    <row r="72" spans="1:15">
      <c r="A72" s="9"/>
      <c r="B72" s="1">
        <v>1</v>
      </c>
      <c r="C72" s="1" t="s">
        <v>885</v>
      </c>
      <c r="I72" s="1" t="s">
        <v>8</v>
      </c>
      <c r="K72" s="20" t="s">
        <v>749</v>
      </c>
      <c r="L72" s="12" t="s">
        <v>8</v>
      </c>
      <c r="M72" s="52">
        <v>61</v>
      </c>
      <c r="N72" s="52" t="s">
        <v>720</v>
      </c>
      <c r="O72" s="53">
        <f t="shared" si="0"/>
        <v>33.617789999999999</v>
      </c>
    </row>
    <row r="73" spans="1:15">
      <c r="A73" s="9"/>
      <c r="B73" s="1">
        <v>100</v>
      </c>
      <c r="C73" s="1" t="s">
        <v>886</v>
      </c>
      <c r="F73" s="13"/>
      <c r="I73" s="1" t="s">
        <v>8</v>
      </c>
      <c r="K73" s="20" t="s">
        <v>887</v>
      </c>
      <c r="L73" s="12" t="s">
        <v>8</v>
      </c>
      <c r="M73" s="52">
        <v>62</v>
      </c>
      <c r="N73" s="52" t="s">
        <v>721</v>
      </c>
      <c r="O73" s="53">
        <f t="shared" si="0"/>
        <v>0.11537373000000001</v>
      </c>
    </row>
    <row r="74" spans="1:15">
      <c r="A74" s="9"/>
      <c r="B74" s="1">
        <v>1</v>
      </c>
      <c r="C74" s="1" t="s">
        <v>888</v>
      </c>
      <c r="I74" s="1" t="s">
        <v>8</v>
      </c>
      <c r="K74" s="20" t="s">
        <v>889</v>
      </c>
      <c r="L74" s="12" t="s">
        <v>8</v>
      </c>
      <c r="M74" s="52">
        <v>63</v>
      </c>
      <c r="N74" s="52" t="s">
        <v>722</v>
      </c>
      <c r="O74" s="53">
        <f t="shared" si="0"/>
        <v>1.5609387000000001</v>
      </c>
    </row>
    <row r="75" spans="1:15">
      <c r="A75" s="9"/>
      <c r="F75" s="2"/>
      <c r="G75" s="22"/>
      <c r="H75" s="13"/>
      <c r="I75" s="2"/>
      <c r="K75" s="23"/>
      <c r="L75" s="16"/>
      <c r="M75" s="2"/>
    </row>
    <row r="76" spans="1:15">
      <c r="A76" s="9"/>
      <c r="B76" s="1" t="s">
        <v>890</v>
      </c>
      <c r="F76" s="24" t="s">
        <v>12</v>
      </c>
      <c r="G76" s="14"/>
      <c r="L76" s="12"/>
    </row>
    <row r="77" spans="1:15">
      <c r="A77" s="25"/>
      <c r="B77" s="26"/>
      <c r="C77" s="27"/>
      <c r="D77" s="28"/>
      <c r="E77" s="28"/>
      <c r="F77" s="29" t="s">
        <v>891</v>
      </c>
      <c r="G77" s="30"/>
      <c r="H77" s="28"/>
      <c r="I77" s="28"/>
      <c r="J77" s="28"/>
      <c r="K77" s="28"/>
      <c r="L77" s="31"/>
    </row>
    <row r="78" spans="1:15" s="3" customFormat="1" ht="13.5">
      <c r="C78" s="3" t="s">
        <v>13</v>
      </c>
    </row>
  </sheetData>
  <protectedRanges>
    <protectedRange sqref="B13" name="範囲1"/>
  </protectedRange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78"/>
  <sheetViews>
    <sheetView workbookViewId="0">
      <selection activeCell="O14" sqref="O14"/>
    </sheetView>
  </sheetViews>
  <sheetFormatPr defaultColWidth="9" defaultRowHeight="14.25"/>
  <cols>
    <col min="1" max="1" width="2.625" style="1" customWidth="1"/>
    <col min="2" max="2" width="4.5" style="1" customWidth="1"/>
    <col min="3" max="3" width="6.125" style="1" customWidth="1"/>
    <col min="4" max="5" width="5.125" style="1" customWidth="1"/>
    <col min="6" max="6" width="6.625" style="1" customWidth="1"/>
    <col min="7" max="8" width="4.125" style="1" customWidth="1"/>
    <col min="9" max="9" width="5.625" style="1" customWidth="1"/>
    <col min="10" max="10" width="4.125" style="1" customWidth="1"/>
    <col min="11" max="11" width="11" style="1" customWidth="1"/>
    <col min="12" max="12" width="17.125" style="1" customWidth="1"/>
    <col min="13" max="13" width="6.25" style="1" customWidth="1"/>
    <col min="14" max="14" width="36.125" style="1" bestFit="1" customWidth="1"/>
    <col min="15" max="15" width="12.125" style="1" customWidth="1"/>
    <col min="16" max="16384" width="9" style="1"/>
  </cols>
  <sheetData>
    <row r="1" spans="1:22">
      <c r="A1" s="1" t="s">
        <v>723</v>
      </c>
      <c r="E1" s="1" t="s">
        <v>773</v>
      </c>
    </row>
    <row r="3" spans="1:22" ht="17.25">
      <c r="A3" s="4" t="s">
        <v>978</v>
      </c>
      <c r="B3" s="5"/>
      <c r="C3" s="5"/>
      <c r="D3" s="5"/>
      <c r="E3" s="5"/>
      <c r="F3" s="5"/>
      <c r="G3" s="5"/>
      <c r="H3" s="5"/>
      <c r="I3" s="5"/>
      <c r="J3" s="6"/>
      <c r="K3" s="7">
        <v>46010</v>
      </c>
      <c r="L3" s="8"/>
    </row>
    <row r="4" spans="1:22">
      <c r="A4" s="9"/>
      <c r="K4" s="10" t="s">
        <v>775</v>
      </c>
      <c r="L4" s="11"/>
    </row>
    <row r="5" spans="1:22">
      <c r="A5" s="9"/>
      <c r="L5" s="12"/>
    </row>
    <row r="6" spans="1:22">
      <c r="A6" s="9"/>
      <c r="B6" s="1" t="s">
        <v>9</v>
      </c>
      <c r="L6" s="12"/>
    </row>
    <row r="7" spans="1:22">
      <c r="A7" s="9"/>
      <c r="B7" s="1" t="s">
        <v>776</v>
      </c>
      <c r="L7" s="12"/>
    </row>
    <row r="8" spans="1:22">
      <c r="A8" s="9"/>
      <c r="B8" s="1" t="s">
        <v>10</v>
      </c>
      <c r="L8" s="12"/>
    </row>
    <row r="9" spans="1:22">
      <c r="A9" s="9"/>
      <c r="C9" s="13"/>
      <c r="D9" s="13"/>
      <c r="F9" s="14"/>
      <c r="L9" s="12"/>
    </row>
    <row r="10" spans="1:22">
      <c r="A10" s="9"/>
      <c r="B10" s="15" t="s">
        <v>979</v>
      </c>
      <c r="F10" s="14"/>
      <c r="L10" s="12"/>
    </row>
    <row r="11" spans="1:22">
      <c r="A11" s="9"/>
      <c r="L11" s="12"/>
      <c r="M11" s="295" t="s">
        <v>47</v>
      </c>
      <c r="N11" s="52" t="s">
        <v>14</v>
      </c>
      <c r="O11" s="52" t="s">
        <v>15</v>
      </c>
    </row>
    <row r="12" spans="1:22">
      <c r="A12" s="9"/>
      <c r="K12" s="13"/>
      <c r="L12" s="16" t="s">
        <v>11</v>
      </c>
      <c r="M12" s="295">
        <v>1</v>
      </c>
      <c r="N12" s="52" t="s">
        <v>49</v>
      </c>
      <c r="O12" s="52">
        <v>1</v>
      </c>
    </row>
    <row r="13" spans="1:22">
      <c r="A13" s="9"/>
      <c r="B13" s="1">
        <v>156.30000000000001</v>
      </c>
      <c r="C13" s="17" t="s">
        <v>778</v>
      </c>
      <c r="D13" s="14">
        <f>B13</f>
        <v>156.30000000000001</v>
      </c>
      <c r="E13" s="1" t="s">
        <v>779</v>
      </c>
      <c r="I13" s="1" t="s">
        <v>6</v>
      </c>
      <c r="K13" s="18">
        <v>1</v>
      </c>
      <c r="L13" s="19" t="s">
        <v>7</v>
      </c>
      <c r="M13" s="295">
        <v>2</v>
      </c>
      <c r="N13" s="52" t="str">
        <f>L13&amp;" (USD)"</f>
        <v>米ドル (USD)</v>
      </c>
      <c r="O13" s="52">
        <f>B13</f>
        <v>156.30000000000001</v>
      </c>
    </row>
    <row r="14" spans="1:22">
      <c r="A14" s="9"/>
      <c r="B14" s="1">
        <v>1</v>
      </c>
      <c r="C14" s="1" t="s">
        <v>780</v>
      </c>
      <c r="I14" s="1" t="s">
        <v>6</v>
      </c>
      <c r="K14" s="20" t="s">
        <v>980</v>
      </c>
      <c r="L14" s="19" t="s">
        <v>7</v>
      </c>
      <c r="M14" s="295">
        <v>3</v>
      </c>
      <c r="N14" s="52" t="str">
        <f>SUBSTITUTE(C14,TEXT(B14,"g/標準")&amp;" ","")</f>
        <v>カナダ・ドル (CAD)</v>
      </c>
      <c r="O14" s="53">
        <f>VALUE($K14)/$B14*$B$13</f>
        <v>111.1293</v>
      </c>
      <c r="Q14" s="33"/>
      <c r="R14" s="32"/>
      <c r="S14" s="32"/>
      <c r="T14" s="32"/>
      <c r="V14" s="32">
        <f>VALUE($K14)/$B14*$B$13</f>
        <v>111.1293</v>
      </c>
    </row>
    <row r="15" spans="1:22">
      <c r="A15" s="9"/>
      <c r="B15" s="1">
        <v>1</v>
      </c>
      <c r="C15" s="1" t="s">
        <v>782</v>
      </c>
      <c r="I15" s="1" t="s">
        <v>8</v>
      </c>
      <c r="K15" s="20" t="s">
        <v>981</v>
      </c>
      <c r="L15" s="12" t="s">
        <v>8</v>
      </c>
      <c r="M15" s="295">
        <v>4</v>
      </c>
      <c r="N15" s="52" t="str">
        <f t="shared" ref="N15:N74" si="0">SUBSTITUTE(C15,TEXT(B15,"g/標準")&amp;" ","")</f>
        <v>中国元 (CNY)</v>
      </c>
      <c r="O15" s="53">
        <f t="shared" ref="O15:O74" si="1">VALUE($K15)/$B15*$B$13</f>
        <v>22.0383</v>
      </c>
    </row>
    <row r="16" spans="1:22">
      <c r="A16" s="9"/>
      <c r="B16" s="1">
        <v>1</v>
      </c>
      <c r="C16" s="1" t="s">
        <v>784</v>
      </c>
      <c r="I16" s="1" t="s">
        <v>8</v>
      </c>
      <c r="K16" s="20" t="s">
        <v>982</v>
      </c>
      <c r="L16" s="12" t="s">
        <v>8</v>
      </c>
      <c r="M16" s="295">
        <v>5</v>
      </c>
      <c r="N16" s="52" t="str">
        <f t="shared" si="0"/>
        <v>スウェーデン・クローネ (SEK)</v>
      </c>
      <c r="O16" s="53">
        <f t="shared" si="1"/>
        <v>16.4115</v>
      </c>
    </row>
    <row r="17" spans="1:15">
      <c r="A17" s="9"/>
      <c r="B17" s="1">
        <v>1</v>
      </c>
      <c r="C17" s="1" t="s">
        <v>785</v>
      </c>
      <c r="I17" s="1" t="s">
        <v>8</v>
      </c>
      <c r="K17" s="20" t="s">
        <v>742</v>
      </c>
      <c r="L17" s="12" t="s">
        <v>8</v>
      </c>
      <c r="M17" s="295">
        <v>6</v>
      </c>
      <c r="N17" s="52" t="str">
        <f t="shared" si="0"/>
        <v>スイス・フラン (CHF)</v>
      </c>
      <c r="O17" s="53">
        <f t="shared" si="1"/>
        <v>193.81200000000001</v>
      </c>
    </row>
    <row r="18" spans="1:15" ht="15.75" customHeight="1">
      <c r="A18" s="9"/>
      <c r="B18" s="1">
        <v>1</v>
      </c>
      <c r="C18" s="1" t="s">
        <v>787</v>
      </c>
      <c r="I18" s="1" t="s">
        <v>8</v>
      </c>
      <c r="K18" s="20" t="s">
        <v>983</v>
      </c>
      <c r="L18" s="12" t="s">
        <v>8</v>
      </c>
      <c r="M18" s="295">
        <v>7</v>
      </c>
      <c r="N18" s="52" t="str">
        <f t="shared" si="0"/>
        <v>スターリング・ポンド (GBP)</v>
      </c>
      <c r="O18" s="53">
        <f t="shared" si="1"/>
        <v>204.75300000000001</v>
      </c>
    </row>
    <row r="19" spans="1:15" ht="15.75" customHeight="1">
      <c r="A19" s="9"/>
      <c r="B19" s="1">
        <v>1</v>
      </c>
      <c r="C19" s="1" t="s">
        <v>789</v>
      </c>
      <c r="I19" s="1" t="s">
        <v>8</v>
      </c>
      <c r="K19" s="20" t="s">
        <v>984</v>
      </c>
      <c r="L19" s="12" t="s">
        <v>8</v>
      </c>
      <c r="M19" s="295">
        <v>8</v>
      </c>
      <c r="N19" s="52" t="str">
        <f t="shared" si="0"/>
        <v>ユーロ (EUR)</v>
      </c>
      <c r="O19" s="53">
        <f t="shared" si="1"/>
        <v>181.30799999999999</v>
      </c>
    </row>
    <row r="20" spans="1:15">
      <c r="A20" s="9"/>
      <c r="B20" s="1">
        <v>1</v>
      </c>
      <c r="C20" s="1" t="s">
        <v>791</v>
      </c>
      <c r="I20" s="1" t="s">
        <v>8</v>
      </c>
      <c r="K20" s="20" t="s">
        <v>725</v>
      </c>
      <c r="L20" s="12" t="s">
        <v>8</v>
      </c>
      <c r="M20" s="295">
        <v>9</v>
      </c>
      <c r="N20" s="52" t="str">
        <f t="shared" si="0"/>
        <v>アラブ首長国連邦ディルハム (AED)</v>
      </c>
      <c r="O20" s="53">
        <f t="shared" si="1"/>
        <v>42.513600000000004</v>
      </c>
    </row>
    <row r="21" spans="1:15">
      <c r="A21" s="9"/>
      <c r="B21" s="1">
        <v>1</v>
      </c>
      <c r="C21" s="1" t="s">
        <v>792</v>
      </c>
      <c r="I21" s="1" t="s">
        <v>8</v>
      </c>
      <c r="K21" s="20" t="s">
        <v>985</v>
      </c>
      <c r="L21" s="12" t="s">
        <v>8</v>
      </c>
      <c r="M21" s="295">
        <v>10</v>
      </c>
      <c r="N21" s="52" t="str">
        <f t="shared" si="0"/>
        <v>アルゼンチン・ペソ (ARS)</v>
      </c>
      <c r="O21" s="53">
        <f t="shared" si="1"/>
        <v>0.10941000000000001</v>
      </c>
    </row>
    <row r="22" spans="1:15">
      <c r="A22" s="9"/>
      <c r="B22" s="1">
        <v>1</v>
      </c>
      <c r="C22" s="1" t="s">
        <v>794</v>
      </c>
      <c r="I22" s="1" t="s">
        <v>8</v>
      </c>
      <c r="K22" s="20" t="s">
        <v>986</v>
      </c>
      <c r="L22" s="12" t="s">
        <v>8</v>
      </c>
      <c r="M22" s="295">
        <v>11</v>
      </c>
      <c r="N22" s="52" t="str">
        <f t="shared" si="0"/>
        <v>イスラエル・シェケル (ILS)</v>
      </c>
      <c r="O22" s="53">
        <f t="shared" si="1"/>
        <v>47.984100000000005</v>
      </c>
    </row>
    <row r="23" spans="1:15">
      <c r="A23" s="9"/>
      <c r="B23" s="1">
        <v>1</v>
      </c>
      <c r="C23" s="1" t="s">
        <v>795</v>
      </c>
      <c r="F23" s="3"/>
      <c r="I23" s="1" t="s">
        <v>8</v>
      </c>
      <c r="K23" s="20" t="s">
        <v>743</v>
      </c>
      <c r="L23" s="12" t="s">
        <v>8</v>
      </c>
      <c r="M23" s="295">
        <v>12</v>
      </c>
      <c r="N23" s="52" t="str">
        <f t="shared" si="0"/>
        <v xml:space="preserve">イラン・リアル (IRR) </v>
      </c>
      <c r="O23" s="53">
        <f t="shared" si="1"/>
        <v>3.5949000000000002E-4</v>
      </c>
    </row>
    <row r="24" spans="1:15">
      <c r="A24" s="9"/>
      <c r="B24" s="1">
        <v>1</v>
      </c>
      <c r="C24" s="1" t="s">
        <v>796</v>
      </c>
      <c r="I24" s="1" t="s">
        <v>8</v>
      </c>
      <c r="K24" s="20" t="s">
        <v>987</v>
      </c>
      <c r="L24" s="12" t="s">
        <v>8</v>
      </c>
      <c r="M24" s="295">
        <v>13</v>
      </c>
      <c r="N24" s="52" t="str">
        <f t="shared" si="0"/>
        <v>インド・ルピー (INR)</v>
      </c>
      <c r="O24" s="53">
        <f t="shared" si="1"/>
        <v>1.7661899999999999</v>
      </c>
    </row>
    <row r="25" spans="1:15">
      <c r="A25" s="9"/>
      <c r="B25" s="1">
        <v>100</v>
      </c>
      <c r="C25" s="1" t="s">
        <v>798</v>
      </c>
      <c r="I25" s="1" t="s">
        <v>8</v>
      </c>
      <c r="K25" s="20" t="s">
        <v>988</v>
      </c>
      <c r="L25" s="12" t="s">
        <v>8</v>
      </c>
      <c r="M25" s="295">
        <v>14</v>
      </c>
      <c r="N25" s="52" t="str">
        <f t="shared" si="0"/>
        <v>インドネシア・ルピア (IDR)</v>
      </c>
      <c r="O25" s="53">
        <f t="shared" si="1"/>
        <v>9.3623700000000001E-3</v>
      </c>
    </row>
    <row r="26" spans="1:15">
      <c r="A26" s="9"/>
      <c r="B26" s="1">
        <v>1</v>
      </c>
      <c r="C26" s="1" t="s">
        <v>800</v>
      </c>
      <c r="I26" s="1" t="s">
        <v>8</v>
      </c>
      <c r="K26" s="20" t="s">
        <v>744</v>
      </c>
      <c r="L26" s="12" t="s">
        <v>8</v>
      </c>
      <c r="M26" s="295">
        <v>15</v>
      </c>
      <c r="N26" s="52" t="str">
        <f t="shared" si="0"/>
        <v>オーストラリア・ドル (AUD)</v>
      </c>
      <c r="O26" s="53">
        <f t="shared" si="1"/>
        <v>101.59500000000001</v>
      </c>
    </row>
    <row r="27" spans="1:15">
      <c r="A27" s="9"/>
      <c r="B27" s="1">
        <v>1</v>
      </c>
      <c r="C27" s="1" t="s">
        <v>802</v>
      </c>
      <c r="G27" s="21"/>
      <c r="I27" s="1" t="s">
        <v>8</v>
      </c>
      <c r="K27" s="20" t="s">
        <v>452</v>
      </c>
      <c r="L27" s="12" t="s">
        <v>8</v>
      </c>
      <c r="M27" s="295">
        <v>16</v>
      </c>
      <c r="N27" s="52" t="str">
        <f t="shared" si="0"/>
        <v>オマーン・リアル (OMR)</v>
      </c>
      <c r="O27" s="53">
        <f t="shared" si="1"/>
        <v>406.38000000000005</v>
      </c>
    </row>
    <row r="28" spans="1:15">
      <c r="A28" s="9"/>
      <c r="B28" s="1">
        <v>1</v>
      </c>
      <c r="C28" s="1" t="s">
        <v>803</v>
      </c>
      <c r="I28" s="1" t="s">
        <v>8</v>
      </c>
      <c r="K28" s="20" t="s">
        <v>745</v>
      </c>
      <c r="L28" s="12" t="s">
        <v>8</v>
      </c>
      <c r="M28" s="295">
        <v>17</v>
      </c>
      <c r="N28" s="52" t="str">
        <f t="shared" si="0"/>
        <v>カタール・リアル (QAR)</v>
      </c>
      <c r="O28" s="53">
        <f t="shared" si="1"/>
        <v>42.826200000000007</v>
      </c>
    </row>
    <row r="29" spans="1:15">
      <c r="A29" s="9"/>
      <c r="B29" s="1">
        <v>100</v>
      </c>
      <c r="C29" s="1" t="s">
        <v>804</v>
      </c>
      <c r="I29" s="1" t="s">
        <v>8</v>
      </c>
      <c r="K29" s="20" t="s">
        <v>989</v>
      </c>
      <c r="L29" s="12" t="s">
        <v>8</v>
      </c>
      <c r="M29" s="295">
        <v>18</v>
      </c>
      <c r="N29" s="52" t="str">
        <f t="shared" si="0"/>
        <v>韓国ウォン (KRW)</v>
      </c>
      <c r="O29" s="53">
        <f t="shared" si="1"/>
        <v>0.10706550000000002</v>
      </c>
    </row>
    <row r="30" spans="1:15">
      <c r="A30" s="9"/>
      <c r="B30" s="1">
        <v>100</v>
      </c>
      <c r="C30" s="1" t="s">
        <v>806</v>
      </c>
      <c r="I30" s="1" t="s">
        <v>8</v>
      </c>
      <c r="K30" s="20" t="s">
        <v>990</v>
      </c>
      <c r="L30" s="12" t="s">
        <v>8</v>
      </c>
      <c r="M30" s="295">
        <v>19</v>
      </c>
      <c r="N30" s="52" t="str">
        <f t="shared" si="0"/>
        <v>カンボジア・リエル (KHR)</v>
      </c>
      <c r="O30" s="53">
        <f t="shared" si="1"/>
        <v>3.8918700000000001E-2</v>
      </c>
    </row>
    <row r="31" spans="1:15">
      <c r="A31" s="9"/>
      <c r="B31" s="1">
        <v>1</v>
      </c>
      <c r="C31" s="1" t="s">
        <v>808</v>
      </c>
      <c r="I31" s="1" t="s">
        <v>8</v>
      </c>
      <c r="K31" s="20" t="s">
        <v>991</v>
      </c>
      <c r="L31" s="12" t="s">
        <v>8</v>
      </c>
      <c r="M31" s="295">
        <v>20</v>
      </c>
      <c r="N31" s="52" t="str">
        <f t="shared" si="0"/>
        <v>クウェート・ディナール (KWD)</v>
      </c>
      <c r="O31" s="53">
        <f t="shared" si="1"/>
        <v>509.53800000000001</v>
      </c>
    </row>
    <row r="32" spans="1:15">
      <c r="A32" s="9"/>
      <c r="B32" s="1">
        <v>1</v>
      </c>
      <c r="C32" s="1" t="s">
        <v>810</v>
      </c>
      <c r="I32" s="1" t="s">
        <v>8</v>
      </c>
      <c r="K32" s="20" t="s">
        <v>992</v>
      </c>
      <c r="L32" s="12" t="s">
        <v>8</v>
      </c>
      <c r="M32" s="295">
        <v>21</v>
      </c>
      <c r="N32" s="52" t="str">
        <f t="shared" si="0"/>
        <v>ケニア・シリング (KES)</v>
      </c>
      <c r="O32" s="53">
        <f t="shared" si="1"/>
        <v>1.208199</v>
      </c>
    </row>
    <row r="33" spans="1:15">
      <c r="A33" s="9"/>
      <c r="B33" s="1">
        <v>100</v>
      </c>
      <c r="C33" s="1" t="s">
        <v>812</v>
      </c>
      <c r="I33" s="1" t="s">
        <v>8</v>
      </c>
      <c r="K33" s="20" t="s">
        <v>993</v>
      </c>
      <c r="L33" s="12" t="s">
        <v>8</v>
      </c>
      <c r="M33" s="295">
        <v>22</v>
      </c>
      <c r="N33" s="52" t="str">
        <f t="shared" si="0"/>
        <v>コロンビア・ペソ (COP)</v>
      </c>
      <c r="O33" s="53">
        <f t="shared" si="1"/>
        <v>4.1419500000000005E-2</v>
      </c>
    </row>
    <row r="34" spans="1:15">
      <c r="A34" s="9"/>
      <c r="B34" s="1">
        <v>1</v>
      </c>
      <c r="C34" s="1" t="s">
        <v>814</v>
      </c>
      <c r="I34" s="1" t="s">
        <v>8</v>
      </c>
      <c r="K34" s="20" t="s">
        <v>746</v>
      </c>
      <c r="L34" s="12" t="s">
        <v>8</v>
      </c>
      <c r="M34" s="295">
        <v>23</v>
      </c>
      <c r="N34" s="52" t="str">
        <f t="shared" si="0"/>
        <v>サウジアラビア・リアル (SAR)</v>
      </c>
      <c r="O34" s="53">
        <f t="shared" si="1"/>
        <v>41.732100000000003</v>
      </c>
    </row>
    <row r="35" spans="1:15">
      <c r="A35" s="9"/>
      <c r="B35" s="1">
        <v>1</v>
      </c>
      <c r="C35" s="1" t="s">
        <v>815</v>
      </c>
      <c r="I35" s="1" t="s">
        <v>8</v>
      </c>
      <c r="K35" s="20" t="s">
        <v>994</v>
      </c>
      <c r="L35" s="12" t="s">
        <v>8</v>
      </c>
      <c r="M35" s="295">
        <v>24</v>
      </c>
      <c r="N35" s="52" t="str">
        <f t="shared" si="0"/>
        <v>シンガポール・ドル(SGD)</v>
      </c>
      <c r="O35" s="53">
        <f t="shared" si="1"/>
        <v>120.03840000000001</v>
      </c>
    </row>
    <row r="36" spans="1:15">
      <c r="A36" s="9"/>
      <c r="B36" s="1">
        <v>100</v>
      </c>
      <c r="C36" s="1" t="s">
        <v>817</v>
      </c>
      <c r="I36" s="1" t="s">
        <v>8</v>
      </c>
      <c r="K36" s="20" t="s">
        <v>995</v>
      </c>
      <c r="L36" s="12" t="s">
        <v>8</v>
      </c>
      <c r="M36" s="295">
        <v>25</v>
      </c>
      <c r="N36" s="52" t="str">
        <f t="shared" si="0"/>
        <v>新台湾ドル (TWD)</v>
      </c>
      <c r="O36" s="53">
        <f t="shared" si="1"/>
        <v>5.0172299999999996</v>
      </c>
    </row>
    <row r="37" spans="1:15">
      <c r="A37" s="9"/>
      <c r="B37" s="1">
        <v>100</v>
      </c>
      <c r="C37" s="1" t="s">
        <v>819</v>
      </c>
      <c r="I37" s="1" t="s">
        <v>8</v>
      </c>
      <c r="K37" s="20" t="s">
        <v>996</v>
      </c>
      <c r="L37" s="12" t="s">
        <v>8</v>
      </c>
      <c r="M37" s="295">
        <v>26</v>
      </c>
      <c r="N37" s="52" t="str">
        <f t="shared" si="0"/>
        <v>スリランカ・ルピー (LKR)</v>
      </c>
      <c r="O37" s="53">
        <f t="shared" si="1"/>
        <v>0.51110100000000014</v>
      </c>
    </row>
    <row r="38" spans="1:15">
      <c r="A38" s="9"/>
      <c r="B38" s="1">
        <v>1</v>
      </c>
      <c r="C38" s="1" t="s">
        <v>821</v>
      </c>
      <c r="I38" s="1" t="s">
        <v>8</v>
      </c>
      <c r="K38" s="20" t="s">
        <v>997</v>
      </c>
      <c r="L38" s="12" t="s">
        <v>8</v>
      </c>
      <c r="M38" s="295">
        <v>27</v>
      </c>
      <c r="N38" s="52" t="str">
        <f t="shared" si="0"/>
        <v>セーシェル・ルピー (SCR)</v>
      </c>
      <c r="O38" s="53">
        <f t="shared" si="1"/>
        <v>11.03478</v>
      </c>
    </row>
    <row r="39" spans="1:15">
      <c r="A39" s="9"/>
      <c r="B39" s="1">
        <v>100</v>
      </c>
      <c r="C39" s="1" t="s">
        <v>823</v>
      </c>
      <c r="I39" s="1" t="s">
        <v>8</v>
      </c>
      <c r="K39" s="20" t="s">
        <v>818</v>
      </c>
      <c r="L39" s="12" t="s">
        <v>8</v>
      </c>
      <c r="M39" s="295">
        <v>28</v>
      </c>
      <c r="N39" s="52" t="str">
        <f t="shared" si="0"/>
        <v>タイ・バーツ (THB)</v>
      </c>
      <c r="O39" s="53">
        <f t="shared" si="1"/>
        <v>4.8296700000000001</v>
      </c>
    </row>
    <row r="40" spans="1:15">
      <c r="A40" s="9"/>
      <c r="B40" s="1">
        <v>100</v>
      </c>
      <c r="C40" s="1" t="s">
        <v>825</v>
      </c>
      <c r="I40" s="1" t="s">
        <v>8</v>
      </c>
      <c r="K40" s="20" t="s">
        <v>998</v>
      </c>
      <c r="L40" s="12" t="s">
        <v>8</v>
      </c>
      <c r="M40" s="295">
        <v>29</v>
      </c>
      <c r="N40" s="52" t="str">
        <f t="shared" si="0"/>
        <v>タヒチ・パシフィックフラン (XPF)</v>
      </c>
      <c r="O40" s="53">
        <f t="shared" si="1"/>
        <v>1.5145469999999999</v>
      </c>
    </row>
    <row r="41" spans="1:15">
      <c r="A41" s="9"/>
      <c r="B41" s="1">
        <v>1</v>
      </c>
      <c r="C41" s="1" t="s">
        <v>827</v>
      </c>
      <c r="I41" s="1" t="s">
        <v>8</v>
      </c>
      <c r="K41" s="20" t="s">
        <v>999</v>
      </c>
      <c r="L41" s="12" t="s">
        <v>8</v>
      </c>
      <c r="M41" s="295">
        <v>30</v>
      </c>
      <c r="N41" s="52" t="str">
        <f t="shared" si="0"/>
        <v>チェコ・コルナ (CZK)</v>
      </c>
      <c r="O41" s="53">
        <f t="shared" si="1"/>
        <v>7.4555100000000003</v>
      </c>
    </row>
    <row r="42" spans="1:15">
      <c r="A42" s="9"/>
      <c r="B42" s="1">
        <v>100</v>
      </c>
      <c r="C42" s="1" t="s">
        <v>829</v>
      </c>
      <c r="I42" s="1" t="s">
        <v>8</v>
      </c>
      <c r="K42" s="20" t="s">
        <v>1000</v>
      </c>
      <c r="L42" s="12" t="s">
        <v>8</v>
      </c>
      <c r="M42" s="295">
        <v>31</v>
      </c>
      <c r="N42" s="52" t="str">
        <f t="shared" si="0"/>
        <v>チリ・ペソ (CLP)</v>
      </c>
      <c r="O42" s="53">
        <f t="shared" si="1"/>
        <v>0.167241</v>
      </c>
    </row>
    <row r="43" spans="1:15">
      <c r="A43" s="9"/>
      <c r="B43" s="1">
        <v>1</v>
      </c>
      <c r="C43" s="1" t="s">
        <v>831</v>
      </c>
      <c r="I43" s="1" t="s">
        <v>8</v>
      </c>
      <c r="K43" s="20" t="s">
        <v>1001</v>
      </c>
      <c r="L43" s="12" t="s">
        <v>8</v>
      </c>
      <c r="M43" s="295">
        <v>32</v>
      </c>
      <c r="N43" s="52" t="str">
        <f t="shared" si="0"/>
        <v>デンマーク・クローネ (DKK)</v>
      </c>
      <c r="O43" s="53">
        <f t="shared" si="1"/>
        <v>24.226500000000001</v>
      </c>
    </row>
    <row r="44" spans="1:15">
      <c r="A44" s="9"/>
      <c r="B44" s="1">
        <v>1</v>
      </c>
      <c r="C44" s="1" t="s">
        <v>833</v>
      </c>
      <c r="I44" s="1" t="s">
        <v>8</v>
      </c>
      <c r="K44" s="20" t="s">
        <v>727</v>
      </c>
      <c r="L44" s="12" t="s">
        <v>8</v>
      </c>
      <c r="M44" s="295">
        <v>33</v>
      </c>
      <c r="N44" s="52" t="str">
        <f t="shared" si="0"/>
        <v>トリニダード・トバゴ・ドル (TTD)</v>
      </c>
      <c r="O44" s="53">
        <f t="shared" si="1"/>
        <v>23.132400000000001</v>
      </c>
    </row>
    <row r="45" spans="1:15">
      <c r="A45" s="9"/>
      <c r="B45" s="1">
        <v>1</v>
      </c>
      <c r="C45" s="1" t="s">
        <v>834</v>
      </c>
      <c r="I45" s="1" t="s">
        <v>8</v>
      </c>
      <c r="K45" s="20" t="s">
        <v>1002</v>
      </c>
      <c r="L45" s="12" t="s">
        <v>8</v>
      </c>
      <c r="M45" s="295">
        <v>34</v>
      </c>
      <c r="N45" s="52" t="str">
        <f t="shared" si="0"/>
        <v>トルコ・リラ (TRY)</v>
      </c>
      <c r="O45" s="53">
        <f t="shared" si="1"/>
        <v>3.70431</v>
      </c>
    </row>
    <row r="46" spans="1:15">
      <c r="A46" s="9"/>
      <c r="B46" s="1">
        <v>1</v>
      </c>
      <c r="C46" s="1" t="s">
        <v>836</v>
      </c>
      <c r="I46" s="1" t="s">
        <v>8</v>
      </c>
      <c r="K46" s="20" t="s">
        <v>1003</v>
      </c>
      <c r="L46" s="12" t="s">
        <v>8</v>
      </c>
      <c r="M46" s="295">
        <v>35</v>
      </c>
      <c r="N46" s="52" t="str">
        <f t="shared" si="0"/>
        <v>ナイジェリア・ナイラ (NGN)</v>
      </c>
      <c r="O46" s="53">
        <f t="shared" si="1"/>
        <v>0.10815960000000001</v>
      </c>
    </row>
    <row r="47" spans="1:15">
      <c r="A47" s="9"/>
      <c r="B47" s="1">
        <v>1</v>
      </c>
      <c r="C47" s="1" t="s">
        <v>838</v>
      </c>
      <c r="I47" s="1" t="s">
        <v>8</v>
      </c>
      <c r="K47" s="20" t="s">
        <v>1004</v>
      </c>
      <c r="L47" s="12" t="s">
        <v>8</v>
      </c>
      <c r="M47" s="295">
        <v>36</v>
      </c>
      <c r="N47" s="52" t="str">
        <f t="shared" si="0"/>
        <v>ニュージーランド・ドル (NZD)</v>
      </c>
      <c r="O47" s="53">
        <f t="shared" si="1"/>
        <v>88.3095</v>
      </c>
    </row>
    <row r="48" spans="1:15">
      <c r="A48" s="9"/>
      <c r="B48" s="1">
        <v>1</v>
      </c>
      <c r="C48" s="1" t="s">
        <v>840</v>
      </c>
      <c r="I48" s="1" t="s">
        <v>8</v>
      </c>
      <c r="K48" s="20" t="s">
        <v>750</v>
      </c>
      <c r="L48" s="12" t="s">
        <v>8</v>
      </c>
      <c r="M48" s="295">
        <v>37</v>
      </c>
      <c r="N48" s="52" t="str">
        <f t="shared" si="0"/>
        <v>ノルウェー・クローネ (NOK)</v>
      </c>
      <c r="O48" s="53">
        <f t="shared" si="1"/>
        <v>15.395550000000002</v>
      </c>
    </row>
    <row r="49" spans="1:15">
      <c r="A49" s="9"/>
      <c r="B49" s="1">
        <v>1</v>
      </c>
      <c r="C49" s="1" t="s">
        <v>842</v>
      </c>
      <c r="I49" s="1" t="s">
        <v>8</v>
      </c>
      <c r="K49" s="20" t="s">
        <v>1005</v>
      </c>
      <c r="L49" s="12" t="s">
        <v>8</v>
      </c>
      <c r="M49" s="295">
        <v>38</v>
      </c>
      <c r="N49" s="52" t="str">
        <f t="shared" si="0"/>
        <v>パキスタン・ルピー (PKR)</v>
      </c>
      <c r="O49" s="53">
        <f t="shared" si="1"/>
        <v>0.55486500000000005</v>
      </c>
    </row>
    <row r="50" spans="1:15">
      <c r="A50" s="9"/>
      <c r="B50" s="1">
        <v>100</v>
      </c>
      <c r="C50" s="1" t="s">
        <v>844</v>
      </c>
      <c r="I50" s="1" t="s">
        <v>8</v>
      </c>
      <c r="K50" s="20" t="s">
        <v>1006</v>
      </c>
      <c r="L50" s="12" t="s">
        <v>846</v>
      </c>
      <c r="M50" s="295">
        <v>39</v>
      </c>
      <c r="N50" s="52" t="str">
        <f t="shared" si="0"/>
        <v>バヌアツ・バツ (VUV)</v>
      </c>
      <c r="O50" s="53">
        <f t="shared" si="1"/>
        <v>1.2785340000000001</v>
      </c>
    </row>
    <row r="51" spans="1:15">
      <c r="A51" s="9"/>
      <c r="B51" s="1">
        <v>1</v>
      </c>
      <c r="C51" s="1" t="s">
        <v>847</v>
      </c>
      <c r="I51" s="1" t="s">
        <v>8</v>
      </c>
      <c r="K51" s="20" t="s">
        <v>1007</v>
      </c>
      <c r="L51" s="12" t="s">
        <v>8</v>
      </c>
      <c r="M51" s="295">
        <v>40</v>
      </c>
      <c r="N51" s="52" t="str">
        <f t="shared" si="0"/>
        <v>パプアニューギニア・キナ (PGK)</v>
      </c>
      <c r="O51" s="53">
        <f t="shared" si="1"/>
        <v>36.886800000000001</v>
      </c>
    </row>
    <row r="52" spans="1:15">
      <c r="A52" s="9"/>
      <c r="B52" s="1">
        <v>1</v>
      </c>
      <c r="C52" s="1" t="s">
        <v>849</v>
      </c>
      <c r="I52" s="1" t="s">
        <v>8</v>
      </c>
      <c r="K52" s="20" t="s">
        <v>728</v>
      </c>
      <c r="L52" s="12" t="s">
        <v>8</v>
      </c>
      <c r="M52" s="295">
        <v>41</v>
      </c>
      <c r="N52" s="52" t="str">
        <f t="shared" si="0"/>
        <v>バーレーン・ディナール (BHD)</v>
      </c>
      <c r="O52" s="53">
        <f t="shared" si="1"/>
        <v>414.19499999999999</v>
      </c>
    </row>
    <row r="53" spans="1:15">
      <c r="A53" s="9"/>
      <c r="B53" s="1">
        <v>100</v>
      </c>
      <c r="C53" s="1" t="s">
        <v>850</v>
      </c>
      <c r="I53" s="1" t="s">
        <v>8</v>
      </c>
      <c r="K53" s="20" t="s">
        <v>1008</v>
      </c>
      <c r="L53" s="12" t="s">
        <v>8</v>
      </c>
      <c r="M53" s="295">
        <v>42</v>
      </c>
      <c r="N53" s="52" t="str">
        <f t="shared" si="0"/>
        <v>ハンガリー・フォリント (HUF)</v>
      </c>
      <c r="O53" s="53">
        <f t="shared" si="1"/>
        <v>0.47046300000000008</v>
      </c>
    </row>
    <row r="54" spans="1:15">
      <c r="A54" s="9"/>
      <c r="B54" s="1">
        <v>100</v>
      </c>
      <c r="C54" s="1" t="s">
        <v>852</v>
      </c>
      <c r="I54" s="1" t="s">
        <v>8</v>
      </c>
      <c r="K54" s="20" t="s">
        <v>1009</v>
      </c>
      <c r="L54" s="12" t="s">
        <v>8</v>
      </c>
      <c r="M54" s="295">
        <v>43</v>
      </c>
      <c r="N54" s="52" t="str">
        <f t="shared" si="0"/>
        <v>バングラデシュ・タカ (BDT)</v>
      </c>
      <c r="O54" s="53">
        <f t="shared" si="1"/>
        <v>1.280097</v>
      </c>
    </row>
    <row r="55" spans="1:15">
      <c r="A55" s="9"/>
      <c r="B55" s="1">
        <v>1</v>
      </c>
      <c r="C55" s="1" t="s">
        <v>854</v>
      </c>
      <c r="I55" s="1" t="s">
        <v>8</v>
      </c>
      <c r="K55" s="20" t="s">
        <v>1010</v>
      </c>
      <c r="L55" s="12" t="s">
        <v>8</v>
      </c>
      <c r="M55" s="295">
        <v>44</v>
      </c>
      <c r="N55" s="52" t="str">
        <f t="shared" si="0"/>
        <v>フィジー・ドル (FJD)</v>
      </c>
      <c r="O55" s="53">
        <f t="shared" si="1"/>
        <v>68.146799999999999</v>
      </c>
    </row>
    <row r="56" spans="1:15">
      <c r="A56" s="9"/>
      <c r="B56" s="1">
        <v>1</v>
      </c>
      <c r="C56" s="1" t="s">
        <v>856</v>
      </c>
      <c r="I56" s="1" t="s">
        <v>8</v>
      </c>
      <c r="K56" s="20" t="s">
        <v>857</v>
      </c>
      <c r="L56" s="12" t="s">
        <v>8</v>
      </c>
      <c r="M56" s="295">
        <v>45</v>
      </c>
      <c r="N56" s="52" t="str">
        <f t="shared" si="0"/>
        <v>フィリピン・ペソ (PHP)</v>
      </c>
      <c r="O56" s="53">
        <f t="shared" si="1"/>
        <v>2.6571000000000002</v>
      </c>
    </row>
    <row r="57" spans="1:15">
      <c r="A57" s="9"/>
      <c r="B57" s="1">
        <v>1</v>
      </c>
      <c r="C57" s="1" t="s">
        <v>858</v>
      </c>
      <c r="I57" s="1" t="s">
        <v>8</v>
      </c>
      <c r="K57" s="20" t="s">
        <v>1011</v>
      </c>
      <c r="L57" s="12" t="s">
        <v>8</v>
      </c>
      <c r="M57" s="295">
        <v>46</v>
      </c>
      <c r="N57" s="52" t="str">
        <f t="shared" si="0"/>
        <v>ブラジル・レアル (BRL)</v>
      </c>
      <c r="O57" s="53">
        <f t="shared" si="1"/>
        <v>29.228100000000001</v>
      </c>
    </row>
    <row r="58" spans="1:15">
      <c r="A58" s="9"/>
      <c r="B58" s="1">
        <v>1</v>
      </c>
      <c r="C58" s="1" t="s">
        <v>860</v>
      </c>
      <c r="I58" s="1" t="s">
        <v>8</v>
      </c>
      <c r="K58" s="20" t="s">
        <v>994</v>
      </c>
      <c r="L58" s="12" t="s">
        <v>8</v>
      </c>
      <c r="M58" s="295">
        <v>47</v>
      </c>
      <c r="N58" s="52" t="str">
        <f t="shared" si="0"/>
        <v>ブルネイ・ドル (BND)</v>
      </c>
      <c r="O58" s="53">
        <f t="shared" si="1"/>
        <v>120.03840000000001</v>
      </c>
    </row>
    <row r="59" spans="1:15">
      <c r="A59" s="9"/>
      <c r="B59" s="1">
        <v>100</v>
      </c>
      <c r="C59" s="1" t="s">
        <v>861</v>
      </c>
      <c r="I59" s="1" t="s">
        <v>8</v>
      </c>
      <c r="K59" s="20" t="s">
        <v>1012</v>
      </c>
      <c r="L59" s="12" t="s">
        <v>8</v>
      </c>
      <c r="M59" s="295">
        <v>48</v>
      </c>
      <c r="N59" s="52" t="str">
        <f t="shared" si="0"/>
        <v>ベトナム・ドン (VND)</v>
      </c>
      <c r="O59" s="53">
        <f t="shared" si="1"/>
        <v>5.9394000000000009E-3</v>
      </c>
    </row>
    <row r="60" spans="1:15">
      <c r="A60" s="9"/>
      <c r="B60" s="1">
        <v>1</v>
      </c>
      <c r="C60" s="1" t="s">
        <v>863</v>
      </c>
      <c r="I60" s="1" t="s">
        <v>8</v>
      </c>
      <c r="K60" s="20" t="s">
        <v>1013</v>
      </c>
      <c r="L60" s="12" t="s">
        <v>8</v>
      </c>
      <c r="M60" s="295">
        <v>49</v>
      </c>
      <c r="N60" s="52" t="str">
        <f t="shared" si="0"/>
        <v>ベネズエラ・ボリーバル (VES)</v>
      </c>
      <c r="O60" s="53">
        <f t="shared" si="1"/>
        <v>0.67834200000000011</v>
      </c>
    </row>
    <row r="61" spans="1:15">
      <c r="A61" s="9"/>
      <c r="B61" s="1">
        <v>1</v>
      </c>
      <c r="C61" s="1" t="s">
        <v>865</v>
      </c>
      <c r="I61" s="1" t="s">
        <v>8</v>
      </c>
      <c r="K61" s="20" t="s">
        <v>1014</v>
      </c>
      <c r="L61" s="12" t="s">
        <v>8</v>
      </c>
      <c r="M61" s="295">
        <v>50</v>
      </c>
      <c r="N61" s="52" t="str">
        <f t="shared" si="0"/>
        <v>ペルー・ヌエボ・ソル (PEN)</v>
      </c>
      <c r="O61" s="53">
        <f t="shared" si="1"/>
        <v>46.421100000000003</v>
      </c>
    </row>
    <row r="62" spans="1:15">
      <c r="A62" s="9"/>
      <c r="B62" s="1">
        <v>1</v>
      </c>
      <c r="C62" s="1" t="s">
        <v>867</v>
      </c>
      <c r="I62" s="1" t="s">
        <v>8</v>
      </c>
      <c r="K62" s="20" t="s">
        <v>1015</v>
      </c>
      <c r="L62" s="12" t="s">
        <v>8</v>
      </c>
      <c r="M62" s="295">
        <v>51</v>
      </c>
      <c r="N62" s="52" t="str">
        <f t="shared" si="0"/>
        <v>ポーランド・ズロチ (PLN)</v>
      </c>
      <c r="O62" s="53">
        <f t="shared" si="1"/>
        <v>42.669900000000005</v>
      </c>
    </row>
    <row r="63" spans="1:15">
      <c r="A63" s="9"/>
      <c r="B63" s="1">
        <v>1</v>
      </c>
      <c r="C63" s="1" t="s">
        <v>869</v>
      </c>
      <c r="I63" s="1" t="s">
        <v>8</v>
      </c>
      <c r="K63" s="20" t="s">
        <v>870</v>
      </c>
      <c r="L63" s="12" t="s">
        <v>8</v>
      </c>
      <c r="M63" s="295">
        <v>52</v>
      </c>
      <c r="N63" s="52" t="str">
        <f t="shared" si="0"/>
        <v>香港ドル (HKD)</v>
      </c>
      <c r="O63" s="53">
        <f t="shared" si="1"/>
        <v>20.162700000000001</v>
      </c>
    </row>
    <row r="64" spans="1:15">
      <c r="A64" s="9"/>
      <c r="B64" s="1">
        <v>1</v>
      </c>
      <c r="C64" s="1" t="s">
        <v>871</v>
      </c>
      <c r="I64" s="1" t="s">
        <v>8</v>
      </c>
      <c r="K64" s="20" t="s">
        <v>1016</v>
      </c>
      <c r="L64" s="12" t="s">
        <v>8</v>
      </c>
      <c r="M64" s="295">
        <v>53</v>
      </c>
      <c r="N64" s="52" t="str">
        <f t="shared" si="0"/>
        <v>マレーシア・リンギット (MYR)</v>
      </c>
      <c r="O64" s="53">
        <f t="shared" si="1"/>
        <v>37.668300000000002</v>
      </c>
    </row>
    <row r="65" spans="1:15">
      <c r="A65" s="9"/>
      <c r="B65" s="1">
        <v>1</v>
      </c>
      <c r="C65" s="1" t="s">
        <v>873</v>
      </c>
      <c r="I65" s="1" t="s">
        <v>8</v>
      </c>
      <c r="K65" s="20" t="s">
        <v>1017</v>
      </c>
      <c r="L65" s="12" t="s">
        <v>8</v>
      </c>
      <c r="M65" s="295">
        <v>54</v>
      </c>
      <c r="N65" s="52" t="str">
        <f t="shared" si="0"/>
        <v>南アフリカ・ラント (ZAR)</v>
      </c>
      <c r="O65" s="53">
        <f t="shared" si="1"/>
        <v>9.0654000000000003</v>
      </c>
    </row>
    <row r="66" spans="1:15">
      <c r="A66" s="9"/>
      <c r="B66" s="1">
        <v>1</v>
      </c>
      <c r="C66" s="1" t="s">
        <v>875</v>
      </c>
      <c r="I66" s="1" t="s">
        <v>8</v>
      </c>
      <c r="K66" s="20" t="s">
        <v>729</v>
      </c>
      <c r="L66" s="12" t="s">
        <v>8</v>
      </c>
      <c r="M66" s="295">
        <v>55</v>
      </c>
      <c r="N66" s="52" t="str">
        <f t="shared" si="0"/>
        <v>ミャンマー・チャット (MMK)</v>
      </c>
      <c r="O66" s="53">
        <f t="shared" si="1"/>
        <v>7.4398800000000015E-2</v>
      </c>
    </row>
    <row r="67" spans="1:15">
      <c r="A67" s="9"/>
      <c r="B67" s="1">
        <v>1</v>
      </c>
      <c r="C67" s="1" t="s">
        <v>876</v>
      </c>
      <c r="I67" s="1" t="s">
        <v>8</v>
      </c>
      <c r="K67" s="20" t="s">
        <v>1018</v>
      </c>
      <c r="L67" s="12" t="s">
        <v>8</v>
      </c>
      <c r="M67" s="295">
        <v>56</v>
      </c>
      <c r="N67" s="52" t="str">
        <f t="shared" si="0"/>
        <v>メキシコ・ペソ (MXN)</v>
      </c>
      <c r="O67" s="53">
        <f t="shared" si="1"/>
        <v>8.4870900000000002</v>
      </c>
    </row>
    <row r="68" spans="1:15">
      <c r="A68" s="9"/>
      <c r="B68" s="1">
        <v>1</v>
      </c>
      <c r="C68" s="1" t="s">
        <v>878</v>
      </c>
      <c r="I68" s="1" t="s">
        <v>8</v>
      </c>
      <c r="K68" s="20" t="s">
        <v>1019</v>
      </c>
      <c r="L68" s="12" t="s">
        <v>8</v>
      </c>
      <c r="M68" s="295">
        <v>57</v>
      </c>
      <c r="N68" s="52" t="str">
        <f t="shared" si="0"/>
        <v>モーリシャス・ルピー (MUR)</v>
      </c>
      <c r="O68" s="53">
        <f t="shared" si="1"/>
        <v>3.3917100000000002</v>
      </c>
    </row>
    <row r="69" spans="1:15">
      <c r="A69" s="9"/>
      <c r="B69" s="1">
        <v>1</v>
      </c>
      <c r="C69" s="1" t="s">
        <v>880</v>
      </c>
      <c r="I69" s="1" t="s">
        <v>8</v>
      </c>
      <c r="K69" s="20" t="s">
        <v>1020</v>
      </c>
      <c r="L69" s="12" t="s">
        <v>8</v>
      </c>
      <c r="M69" s="295">
        <v>58</v>
      </c>
      <c r="N69" s="52" t="str">
        <f t="shared" si="0"/>
        <v>モロッコ・ディルハム (MAD)</v>
      </c>
      <c r="O69" s="53">
        <f t="shared" si="1"/>
        <v>16.880400000000002</v>
      </c>
    </row>
    <row r="70" spans="1:15">
      <c r="A70" s="9"/>
      <c r="B70" s="1">
        <v>1</v>
      </c>
      <c r="C70" s="1" t="s">
        <v>882</v>
      </c>
      <c r="I70" s="1" t="s">
        <v>8</v>
      </c>
      <c r="K70" s="20" t="s">
        <v>730</v>
      </c>
      <c r="L70" s="12" t="s">
        <v>8</v>
      </c>
      <c r="M70" s="295">
        <v>59</v>
      </c>
      <c r="N70" s="52" t="str">
        <f t="shared" si="0"/>
        <v>ヨルダン・ディナール (JOD)</v>
      </c>
      <c r="O70" s="53">
        <f t="shared" si="1"/>
        <v>220.38300000000001</v>
      </c>
    </row>
    <row r="71" spans="1:15">
      <c r="A71" s="9"/>
      <c r="B71" s="1">
        <v>100</v>
      </c>
      <c r="C71" s="1" t="s">
        <v>883</v>
      </c>
      <c r="I71" s="1" t="s">
        <v>8</v>
      </c>
      <c r="K71" s="20" t="s">
        <v>1021</v>
      </c>
      <c r="L71" s="12" t="s">
        <v>8</v>
      </c>
      <c r="M71" s="295">
        <v>60</v>
      </c>
      <c r="N71" s="52" t="str">
        <f t="shared" si="0"/>
        <v>ラオス・キップ (LAK)</v>
      </c>
      <c r="O71" s="53">
        <f t="shared" si="1"/>
        <v>7.2054300000000005E-3</v>
      </c>
    </row>
    <row r="72" spans="1:15">
      <c r="A72" s="9"/>
      <c r="B72" s="1">
        <v>1</v>
      </c>
      <c r="C72" s="1" t="s">
        <v>885</v>
      </c>
      <c r="I72" s="1" t="s">
        <v>8</v>
      </c>
      <c r="K72" s="20" t="s">
        <v>1022</v>
      </c>
      <c r="L72" s="12" t="s">
        <v>8</v>
      </c>
      <c r="M72" s="295">
        <v>61</v>
      </c>
      <c r="N72" s="52" t="str">
        <f t="shared" si="0"/>
        <v>ルーマニア・レイ (RON)</v>
      </c>
      <c r="O72" s="53">
        <f t="shared" si="1"/>
        <v>35.4801</v>
      </c>
    </row>
    <row r="73" spans="1:15">
      <c r="A73" s="9"/>
      <c r="B73" s="1">
        <v>100</v>
      </c>
      <c r="C73" s="1" t="s">
        <v>886</v>
      </c>
      <c r="F73" s="13"/>
      <c r="I73" s="1" t="s">
        <v>8</v>
      </c>
      <c r="K73" s="20" t="s">
        <v>1023</v>
      </c>
      <c r="L73" s="12" t="s">
        <v>8</v>
      </c>
      <c r="M73" s="295">
        <v>62</v>
      </c>
      <c r="N73" s="52" t="str">
        <f t="shared" si="0"/>
        <v>ルワンダ・フラン (RWF)</v>
      </c>
      <c r="O73" s="53">
        <f t="shared" si="1"/>
        <v>0.10784700000000003</v>
      </c>
    </row>
    <row r="74" spans="1:15">
      <c r="A74" s="9"/>
      <c r="B74" s="1">
        <v>1</v>
      </c>
      <c r="C74" s="1" t="s">
        <v>888</v>
      </c>
      <c r="I74" s="1" t="s">
        <v>8</v>
      </c>
      <c r="K74" s="20" t="s">
        <v>1024</v>
      </c>
      <c r="L74" s="12" t="s">
        <v>8</v>
      </c>
      <c r="M74" s="295">
        <v>63</v>
      </c>
      <c r="N74" s="52" t="str">
        <f t="shared" si="0"/>
        <v>ロシア・ルーブル (RUB)</v>
      </c>
      <c r="O74" s="53">
        <f t="shared" si="1"/>
        <v>1.9537500000000003</v>
      </c>
    </row>
    <row r="75" spans="1:15">
      <c r="A75" s="9"/>
      <c r="F75" s="2"/>
      <c r="G75" s="22"/>
      <c r="H75" s="13"/>
      <c r="I75" s="2"/>
      <c r="K75" s="23"/>
      <c r="L75" s="16"/>
      <c r="M75" s="2"/>
    </row>
    <row r="76" spans="1:15">
      <c r="A76" s="9"/>
      <c r="B76" s="1" t="s">
        <v>890</v>
      </c>
      <c r="F76" s="24" t="s">
        <v>12</v>
      </c>
      <c r="G76" s="14"/>
      <c r="L76" s="12"/>
    </row>
    <row r="77" spans="1:15">
      <c r="A77" s="25"/>
      <c r="B77" s="26"/>
      <c r="C77" s="27"/>
      <c r="D77" s="28"/>
      <c r="E77" s="28"/>
      <c r="F77" s="29" t="s">
        <v>1025</v>
      </c>
      <c r="G77" s="30"/>
      <c r="H77" s="28"/>
      <c r="I77" s="28"/>
      <c r="J77" s="28"/>
      <c r="K77" s="28"/>
      <c r="L77" s="31"/>
    </row>
    <row r="78" spans="1:15" s="3" customFormat="1" ht="13.5">
      <c r="C78" s="3" t="s">
        <v>13</v>
      </c>
    </row>
  </sheetData>
  <protectedRanges>
    <protectedRange sqref="B13" name="範囲1_1"/>
  </protectedRange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78"/>
  <sheetViews>
    <sheetView topLeftCell="A16" workbookViewId="0">
      <selection activeCell="D47" sqref="D47"/>
    </sheetView>
  </sheetViews>
  <sheetFormatPr defaultColWidth="8.875" defaultRowHeight="13.5"/>
  <cols>
    <col min="1" max="1" width="19.375" style="39" bestFit="1" customWidth="1"/>
    <col min="2" max="2" width="14.375" style="39" customWidth="1"/>
    <col min="3" max="3" width="12.75" style="39" customWidth="1"/>
    <col min="4" max="4" width="12.375" style="39" bestFit="1" customWidth="1"/>
    <col min="5" max="7" width="8.875" style="39"/>
    <col min="8" max="8" width="9.5" style="39" bestFit="1" customWidth="1"/>
    <col min="9" max="9" width="148.625" style="39" customWidth="1"/>
    <col min="10" max="16384" width="8.875" style="39"/>
  </cols>
  <sheetData>
    <row r="1" spans="1:9">
      <c r="A1" s="424"/>
      <c r="B1" s="425" t="str">
        <f>IF(計算シート!C69=0,"本人","-")</f>
        <v>本人</v>
      </c>
      <c r="C1" s="425" t="str">
        <f>IF(計算シート!C69=0,"生計維持者１","本人")</f>
        <v>生計維持者１</v>
      </c>
      <c r="D1" s="425" t="str">
        <f>海外居住者のための収入等申告書!L33</f>
        <v>生計維持者２</v>
      </c>
      <c r="F1" s="39" t="s">
        <v>39</v>
      </c>
      <c r="I1" s="425" t="s">
        <v>1059</v>
      </c>
    </row>
    <row r="2" spans="1:9">
      <c r="A2" s="425" t="s">
        <v>353</v>
      </c>
      <c r="B2" s="36">
        <f>IFERROR(IF(C69=0,DATEDIF(海外居住者のための収入等申告書!F23,計算シート!$C$47,"y"),0),125)</f>
        <v>125</v>
      </c>
      <c r="C2" s="36">
        <f>DATEDIF(海外居住者のための収入等申告書!F35,計算シート!$C$47,"y")</f>
        <v>126</v>
      </c>
      <c r="D2" s="36">
        <f>DATEDIF(海外居住者のための収入等申告書!L35,計算シート!$C$47,"y")</f>
        <v>126</v>
      </c>
      <c r="I2" s="36"/>
    </row>
    <row r="3" spans="1:9">
      <c r="A3" s="425" t="s">
        <v>166</v>
      </c>
      <c r="B3" s="305">
        <f>海外居住者のための収入等申告書!F29*VLOOKUP(海外居住者のための収入等申告書!F28,IF($C$50=1,前年レート!$N$12:$O$74,IF($C$50=2,当年レート!$N$12:$O$74,"")),2,0)</f>
        <v>0</v>
      </c>
      <c r="C3" s="305">
        <f>海外居住者のための収入等申告書!F44*VLOOKUP(海外居住者のための収入等申告書!F43,IF($C$50=1,前年レート!$N$12:$O$74,IF($C$50=2,当年レート!$N$12:$O$74,"")),2,0)</f>
        <v>0</v>
      </c>
      <c r="D3" s="305">
        <f>IF(VLOOKUP(海外居住者のための収入等申告書!$F$36,計算シート!$F$3:$G$10,2,0)=1,海外居住者のための収入等申告書!L44*VLOOKUP(海外居住者のための収入等申告書!L43,IF($C$50=1,前年レート!$N$12:$O$74,IF($C$50=2,当年レート!$N$12:$O$74,"")),2,0),0)</f>
        <v>0</v>
      </c>
      <c r="F3" s="36" t="s">
        <v>41</v>
      </c>
      <c r="G3" s="36">
        <v>1</v>
      </c>
      <c r="I3" s="36"/>
    </row>
    <row r="4" spans="1:9">
      <c r="A4" s="425" t="s">
        <v>16</v>
      </c>
      <c r="B4" s="305">
        <f>MAX(IF(AND($C$51=1,B3&lt;T11所得区分!$B$32),B3-T12給与所得!$B$62,IF(B3&lt;T11所得区分!$B$16,T12給与所得!$B$2,IF(B3&lt;T11所得区分!$B$17,B3-T12給与所得!$B$13,IF(B3&lt;T11所得区分!$B$18,T12給与所得!$B$4,IF(B3&lt;T11所得区分!$B$19,T12給与所得!$B$5,IF(B3&lt;T11所得区分!$B$20,T12給与所得!$B$6,IF(B3&lt;T11所得区分!$B$21,T12給与所得!$B$7,IF(B3&lt;T11所得区分!$B$22,ROUNDDOWN(B3/4000,0)*4000*T12給与所得!$B$19-T12給与所得!$B$14,IF(B3&lt;T11所得区分!$B$23,ROUNDDOWN(B3/4000,0)*4000*T12給与所得!$B$20-T12給与所得!$B$15,IF(B3&lt;T11所得区分!$B$24,ROUNDDOWN(B3/4000,0)*4000*T12給与所得!$B$21-T12給与所得!$B$16,IF(B3&lt;T11所得区分!$B$25,B3*T12給与所得!$B$22-T12給与所得!$B$17,B3-T12給与所得!$B$18))))))))))),0)</f>
        <v>0</v>
      </c>
      <c r="C4" s="305">
        <f>MAX(IF(AND($C$51=1,C3&lt;T11所得区分!$B$32),C3-T12給与所得!$B$62,IF(C3&lt;T11所得区分!$B$16,T12給与所得!$B$2,IF(C3&lt;T11所得区分!$B$17,C3-T12給与所得!$B$13,IF(C3&lt;T11所得区分!$B$18,T12給与所得!$B$4,IF(C3&lt;T11所得区分!$B$19,T12給与所得!$B$5,IF(C3&lt;T11所得区分!$B$20,T12給与所得!$B$6,IF(C3&lt;T11所得区分!$B$21,T12給与所得!$B$7,IF(C3&lt;T11所得区分!$B$22,ROUNDDOWN(C3/4000,0)*4000*T12給与所得!$B$19-T12給与所得!$B$14,IF(C3&lt;T11所得区分!$B$23,ROUNDDOWN(C3/4000,0)*4000*T12給与所得!$B$20-T12給与所得!$B$15,IF(C3&lt;T11所得区分!$B$24,ROUNDDOWN(C3/4000,0)*4000*T12給与所得!$B$21-T12給与所得!$B$16,IF(C3&lt;T11所得区分!$B$25,C3*T12給与所得!$B$22-T12給与所得!$B$17,C3-T12給与所得!$B$18)))))))))))-C54,0)</f>
        <v>0</v>
      </c>
      <c r="D4" s="305">
        <f>MAX(IF(AND($C$51=1,D3&lt;T11所得区分!$B$32),D3-T12給与所得!$B$62,IF(D3&lt;T11所得区分!$B$16,T12給与所得!$B$2,IF(D3&lt;T11所得区分!$B$17,D3-T12給与所得!$B$13,IF(D3&lt;T11所得区分!$B$18,T12給与所得!$B$4,IF(D3&lt;T11所得区分!$B$19,T12給与所得!$B$5,IF(D3&lt;T11所得区分!$B$20,T12給与所得!$B$6,IF(D3&lt;T11所得区分!$B$21,T12給与所得!$B$7,IF(D3&lt;T11所得区分!$B$22,ROUNDDOWN(D3/4000,0)*4000*T12給与所得!$B$19-T12給与所得!$B$14,IF(D3&lt;T11所得区分!$B$23,ROUNDDOWN(D3/4000,0)*4000*T12給与所得!$B$20-T12給与所得!$B$15,IF(D3&lt;T11所得区分!$B$24,ROUNDDOWN(D3/4000,0)*4000*T12給与所得!$B$21-T12給与所得!$B$16,IF(D3&lt;T11所得区分!$B$25,D3*T12給与所得!$B$22-T12給与所得!$B$17,D3-T12給与所得!$B$18)))))))))))-D54,0)</f>
        <v>0</v>
      </c>
      <c r="F4" s="36" t="s">
        <v>43</v>
      </c>
      <c r="G4" s="36">
        <v>2</v>
      </c>
      <c r="I4" s="305" t="s">
        <v>1057</v>
      </c>
    </row>
    <row r="5" spans="1:9">
      <c r="A5" s="425" t="s">
        <v>215</v>
      </c>
      <c r="B5" s="305">
        <v>0</v>
      </c>
      <c r="C5" s="305">
        <f>海外居住者のための収入等申告書!F46*VLOOKUP(海外居住者のための収入等申告書!F45,IF($C$50=1,前年レート!$N$12:$O$74,IF($C$50=2,当年レート!$N$12:$O$74,"")),2,0)</f>
        <v>0</v>
      </c>
      <c r="D5" s="305">
        <f>IF(VLOOKUP(海外居住者のための収入等申告書!$F$36,計算シート!$F$3:$G$10,2,0)=1,海外居住者のための収入等申告書!L46*VLOOKUP(海外居住者のための収入等申告書!L45,IF($C$50=1,前年レート!$N$12:$O$74,IF($C$50=2,当年レート!$N$12:$O$74,"")),2,0),0)</f>
        <v>0</v>
      </c>
      <c r="F5" s="36" t="s">
        <v>44</v>
      </c>
      <c r="G5" s="36">
        <v>3</v>
      </c>
      <c r="I5" s="36"/>
    </row>
    <row r="6" spans="1:9">
      <c r="A6" s="425" t="s">
        <v>214</v>
      </c>
      <c r="B6" s="305">
        <v>0</v>
      </c>
      <c r="C6" s="305">
        <f>MAX(IF(C2&lt;T12給与所得!B23,IF(C5&lt;T12給与所得!B28,C5-T12給与所得!B51,IF(C5&lt;T12給与所得!B29,C5*T12給与所得!B59-T12給与所得!B52,IF(C5&lt;T12給与所得!B30,C5*T12給与所得!B60-T12給与所得!B53,IF(C5&lt;T12給与所得!B31,C5*T12給与所得!B61-T12給与所得!B54,C5-T12給与所得!B55)))),IF(C5&lt;T12給与所得!B24,C5-T12給与所得!B46,IF(C5&lt;T12給与所得!B25,C5*T12給与所得!B56-T12給与所得!B47,IF(C5&lt;T12給与所得!B26,C5*T12給与所得!B57-T12給与所得!B48,IF(C5&lt;T12給与所得!B27,C5*T12給与所得!B58-T12給与所得!B49,C5-T12給与所得!B50))))),0)</f>
        <v>0</v>
      </c>
      <c r="D6" s="305">
        <f>MAX(IF(D2&lt;T12給与所得!B23,IF(D5&lt;T12給与所得!B28,D5-T12給与所得!B51,IF(D5&lt;T12給与所得!B29,D5*T12給与所得!B59-T12給与所得!B52,IF(D5&lt;T12給与所得!B30,D5*T12給与所得!B60-T12給与所得!B53,IF(D5&lt;T12給与所得!B31,D5*T12給与所得!B61-T12給与所得!B54,D5-T12給与所得!B55)))),IF(D5&lt;T12給与所得!B24,D5-T12給与所得!B46,IF(D5&lt;T12給与所得!B25,D5*T12給与所得!B56-T12給与所得!B47,IF(D5&lt;T12給与所得!B26,D5*T12給与所得!B57-T12給与所得!B48,IF(D5&lt;T12給与所得!B27,D5*T12給与所得!B58-T12給与所得!B49,D5-T12給与所得!B50))))),0)</f>
        <v>0</v>
      </c>
      <c r="F6" s="36" t="s">
        <v>45</v>
      </c>
      <c r="G6" s="36">
        <v>4</v>
      </c>
      <c r="I6" s="305" t="s">
        <v>1058</v>
      </c>
    </row>
    <row r="7" spans="1:9">
      <c r="A7" s="425" t="s">
        <v>216</v>
      </c>
      <c r="B7" s="305">
        <f>海外居住者のための収入等申告書!F31*VLOOKUP(海外居住者のための収入等申告書!F30,IF($C$50=1,前年レート!$N$12:$O$74,IF($C$50=2,当年レート!$N$12:$O$74,"")),2,0)</f>
        <v>0</v>
      </c>
      <c r="C7" s="305">
        <f>海外居住者のための収入等申告書!F48*VLOOKUP(海外居住者のための収入等申告書!F47,IF($C$50=1,前年レート!$N$12:$O$74,IF($C$50=2,当年レート!$N$12:$O$74,"")),2,0)</f>
        <v>0</v>
      </c>
      <c r="D7" s="305">
        <f>IF(VLOOKUP(海外居住者のための収入等申告書!$F$36,計算シート!$F$3:$G$10,2,0)=1,海外居住者のための収入等申告書!L48*VLOOKUP(海外居住者のための収入等申告書!L47,IF($C$50=1,前年レート!$N$12:$O$74,IF($C$50=2,当年レート!$N$12:$O$74,"")),2,0),0)</f>
        <v>0</v>
      </c>
      <c r="F7" s="36" t="s">
        <v>211</v>
      </c>
      <c r="G7" s="36">
        <v>5</v>
      </c>
      <c r="I7" s="36"/>
    </row>
    <row r="8" spans="1:9">
      <c r="A8" s="425" t="s">
        <v>17</v>
      </c>
      <c r="B8" s="305">
        <f>IF(VLOOKUP(海外居住者のための収入等申告書!F27,計算シート!F3:G4,2,0)=1,SUM(B4,B6,B7),0)</f>
        <v>0</v>
      </c>
      <c r="C8" s="305">
        <f>MAX(SUM(C4,C6,C7)-C55,0)</f>
        <v>0</v>
      </c>
      <c r="D8" s="305">
        <f>MAX(SUM(D4,D6,D7)-D55,0)</f>
        <v>0</v>
      </c>
      <c r="F8" s="36" t="str">
        <f>IF(C51=0,"寡婦（夫）でない","ひとり親でない")</f>
        <v>ひとり親でない</v>
      </c>
      <c r="G8" s="36">
        <v>6</v>
      </c>
      <c r="I8" s="36" t="s">
        <v>1075</v>
      </c>
    </row>
    <row r="9" spans="1:9">
      <c r="A9" s="425" t="s">
        <v>255</v>
      </c>
      <c r="B9" s="36">
        <v>0</v>
      </c>
      <c r="C9" s="36">
        <f>IF(VLOOKUP(海外居住者のための収入等申告書!$F$36,$F$3:$G$13,2,0)=1,1,0)</f>
        <v>1</v>
      </c>
      <c r="D9" s="36">
        <f>C9</f>
        <v>1</v>
      </c>
      <c r="F9" s="36" t="str">
        <f>IF(C51=0,"寡婦である","ひとり親である")</f>
        <v>ひとり親である</v>
      </c>
      <c r="G9" s="36">
        <v>7</v>
      </c>
      <c r="I9" s="36"/>
    </row>
    <row r="10" spans="1:9">
      <c r="A10" s="425" t="s">
        <v>165</v>
      </c>
      <c r="B10" s="306" t="s">
        <v>229</v>
      </c>
      <c r="C10" s="306" t="str">
        <f>IF(C9=1,IF(C8&gt;=D8,IF(C8&lt;=T11所得区分!$B$2,"A",IF(C8&lt;=T11所得区分!$B$3,"B",IF(C8&lt;=T11所得区分!$B$4,"C","D"))),IF(AND($C$51=1,C8&lt;=T11所得区分!$B$31),"e",IF(C8&lt;=T11所得区分!$B$5,"e",IF(C8&lt;T11所得区分!$B$6,"f",IF(C8&lt;T11所得区分!$B$7,"g",IF(C8&lt;=T11所得区分!$B$8,"h",IF(C8&lt;=T11所得区分!$B$9,"i",IF(C8&lt;=T11所得区分!$B$10,"j",IF(C8&lt;=T11所得区分!$B$11,"k",IF(C8&lt;=T11所得区分!$B$12,"l",IF(C8&lt;=T11所得区分!$B$13,"m",IF(C8&lt;=T11所得区分!$B$14,"n",IF(C8&lt;=T11所得区分!$B$15,"o","p"))))))))))))),"D")</f>
        <v>A</v>
      </c>
      <c r="D10" s="306" t="str">
        <f>IF(VLOOKUP(海外居住者のための収入等申告書!F36,計算シート!F3:G10,2,0)=1,IF(D8&gt;C8,IF(D8&lt;=T11所得区分!$B$2,"A",IF(D8&lt;=T11所得区分!$B$3,"B",IF(D8&lt;=T11所得区分!$B$4,"C","D"))), IF(AND($C$51=1,D8&lt;=T11所得区分!$B$31),"e",IF(D8&lt;=T11所得区分!$B$5,"e",IF(D8&lt;T11所得区分!$B$6,"f",IF(D8&lt;T11所得区分!$B$7,"g",IF(D8&lt;=T11所得区分!$B$8,"h",IF(D8&lt;=T11所得区分!$B$9,"i",IF(D8&lt;=T11所得区分!$B$10,"j",IF(D8&lt;=T11所得区分!$B$11,"k",IF(D8&lt;=T11所得区分!$B$12,"l",IF(D8&lt;=T11所得区分!$B$13,"m",IF(D8&lt;=T11所得区分!$B$14,"n",IF(D8&lt;=T11所得区分!$B$15,"o","p"))))))))))))),"p")</f>
        <v>e</v>
      </c>
      <c r="F10" s="36" t="str">
        <f>IF(C51=0,"寡夫である","")</f>
        <v/>
      </c>
      <c r="G10" s="36">
        <v>8</v>
      </c>
      <c r="I10" s="305" t="s">
        <v>1070</v>
      </c>
    </row>
    <row r="11" spans="1:9">
      <c r="A11" s="425" t="s">
        <v>210</v>
      </c>
      <c r="B11" s="305">
        <v>0</v>
      </c>
      <c r="C11" s="305">
        <f>IF(C10="A",IF(D10="e",IF(D2&gt;=70,T13人的控除!$B$6,T13人的控除!$B$3),IF(D10="f",T13人的控除!$B$9,IF(D10="g",T13人的控除!$B$10,IF(D10="h",T13人的控除!$B$11,IF(D10="i",T13人的控除!$B$12,IF(D10="j",T13人的控除!$B$13,IF(D10="k",T13人的控除!$B$14,IF(D10="l",T13人的控除!$B$15,IF(D10="m",T13人的控除!$B$16,IF(D10="n",T13人的控除!$B$17,IF(D10="o",T13人的控除!$B$18,0))))))))))),IF(C10="B",IF(D10="e",IF(D2&gt;=70,T13人的控除!$B$7,T13人的控除!$B$4),IF(D10="f",T13人的控除!$B$19,IF(D10="g",T13人的控除!$B$20,IF(D10="h",T13人的控除!$B$21,IF(D10="i",T13人的控除!$B$22,IF(D10="j",T13人的控除!$B$23,IF(D10="k",T13人的控除!$B$24,IF(D10="l",T13人的控除!$B$25,IF(D10="m",T13人的控除!$B$26,IF(D10="n",T13人的控除!$B$27,IF(D10="o",T13人的控除!$B$28,0))))))))))),IF(C10="C",IF(D10="e",IF(D2&gt;=70,T13人的控除!$B$8,T13人的控除!$B$5),IF(D10="f",T13人的控除!$B$29,IF(D10="g",T13人的控除!$B$30,IF(D10="h",T13人的控除!$B$31,IF(D10="i",T13人的控除!$B$32,IF(D10="j",T13人的控除!$B$33,IF(D10="k",T13人的控除!$B$34,IF(D10="l",T13人的控除!$B$35,IF(D10="m",T13人的控除!$B$36,IF(D10="n",T13人的控除!$B$37,IF(D10="o",T13人的控除!$B$38,0))))))))))),0)))</f>
        <v>380000</v>
      </c>
      <c r="D11" s="305">
        <f>IF(D10="A",IF(C10="e",IF(C2&gt;=70,T13人的控除!$B$6,T13人的控除!$B$3),IF(C10="f",T13人的控除!$B$9,IF(C10="g",T13人的控除!$B$10,IF(C10="h",T13人的控除!$B$11,IF(C10="i",T13人的控除!$B$12,IF(C10="j",T13人的控除!$B$13,IF(C10="k",T13人的控除!$B$14,IF(C10="l",T13人的控除!$B$15,IF(C10="m",T13人的控除!$B$16,IF(C10="n",T13人的控除!$B$17,IF(C10="o",T13人的控除!$B$18,0))))))))))),IF(D10="B",IF(C10="e",IF(C2&gt;=70,T13人的控除!$B$7,T13人的控除!$B$4),IF(C10="f",T13人的控除!$B$19,IF(C10="g",T13人的控除!$B$20,IF(C10="h",T13人的控除!$B$21,IF(C10="i",T13人的控除!$B$22,IF(C10="j",T13人的控除!$B$23,IF(C10="k",T13人的控除!$B$24,IF(C10="l",T13人的控除!$B$25,IF(C10="m",T13人的控除!$B$26,IF(C10="n",T13人的控除!$B$27,IF(C10="o",T13人的控除!$B$28,0))))))))))),IF(D10="C",IF(C10="e",IF(海外居住者のための収入等申告書!L35&gt;=70,T13人的控除!$B$8,T13人的控除!$B$5),IF(C10="f",T13人的控除!$B$29,IF(C10="g",T13人的控除!$B$30,IF(C10="h",T13人的控除!$B$31,IF(C10="i",T13人的控除!$B$32,IF(C10="j",T13人的控除!$B$33,IF(C10="k",T13人的控除!$B$34,IF(C10="l",T13人的控除!$B$35,IF(C10="m",T13人的控除!$B$36,IF(C10="n",T13人的控除!$B$37,IF(C10="o",T13人的控除!$B$38,0))))))))))),0)))</f>
        <v>0</v>
      </c>
      <c r="F11" s="426" t="s">
        <v>223</v>
      </c>
      <c r="G11" s="426">
        <v>9</v>
      </c>
      <c r="I11" s="36"/>
    </row>
    <row r="12" spans="1:9">
      <c r="A12" s="425" t="s">
        <v>18</v>
      </c>
      <c r="B12" s="305">
        <v>0</v>
      </c>
      <c r="C12" s="305">
        <f>SUM(海外居住者のための収入等申告書!F52,海外居住者のための収入等申告書!F55,C37)*T13人的控除!$B$39</f>
        <v>330000</v>
      </c>
      <c r="D12" s="305">
        <f>SUM(海外居住者のための収入等申告書!L52,海外居住者のための収入等申告書!L55,D37)*T13人的控除!$B$39</f>
        <v>0</v>
      </c>
      <c r="F12" s="36" t="s">
        <v>224</v>
      </c>
      <c r="G12" s="36">
        <v>10</v>
      </c>
      <c r="I12" s="36"/>
    </row>
    <row r="13" spans="1:9">
      <c r="A13" s="425" t="s">
        <v>19</v>
      </c>
      <c r="B13" s="305">
        <v>0</v>
      </c>
      <c r="C13" s="305">
        <f>SUM(C38,海外居住者のための収入等申告書!F53,'計算シート2(特定親族)'!$L$8)*T13人的控除!$B$40</f>
        <v>0</v>
      </c>
      <c r="D13" s="305">
        <f>SUM(D38,海外居住者のための収入等申告書!L53,'計算シート2(特定親族)'!$L$20)*T13人的控除!$B$40</f>
        <v>0</v>
      </c>
      <c r="F13" s="36" t="s">
        <v>235</v>
      </c>
      <c r="G13" s="36">
        <v>11</v>
      </c>
      <c r="I13" s="36" t="s">
        <v>1060</v>
      </c>
    </row>
    <row r="14" spans="1:9">
      <c r="A14" s="425" t="s">
        <v>20</v>
      </c>
      <c r="B14" s="305">
        <v>0</v>
      </c>
      <c r="C14" s="305">
        <f>海外居住者のための収入等申告書!F57*T13人的控除!$B$41</f>
        <v>0</v>
      </c>
      <c r="D14" s="305">
        <f>海外居住者のための収入等申告書!L57*T13人的控除!$B$41</f>
        <v>0</v>
      </c>
      <c r="I14" s="36"/>
    </row>
    <row r="15" spans="1:9">
      <c r="A15" s="425" t="s">
        <v>21</v>
      </c>
      <c r="B15" s="305">
        <v>0</v>
      </c>
      <c r="C15" s="305">
        <f>海外居住者のための収入等申告書!F56*T13人的控除!$B$42</f>
        <v>0</v>
      </c>
      <c r="D15" s="305">
        <f>海外居住者のための収入等申告書!L56*T13人的控除!$B$42</f>
        <v>0</v>
      </c>
      <c r="F15" s="36" t="s">
        <v>344</v>
      </c>
      <c r="G15" s="36">
        <v>1</v>
      </c>
      <c r="I15" s="36"/>
    </row>
    <row r="16" spans="1:9">
      <c r="A16" s="425" t="s">
        <v>1052</v>
      </c>
      <c r="B16" s="305">
        <v>0</v>
      </c>
      <c r="C16" s="305">
        <f>'計算シート2(特定親族)'!L10</f>
        <v>0</v>
      </c>
      <c r="D16" s="305">
        <f>'計算シート2(特定親族)'!L22</f>
        <v>0</v>
      </c>
      <c r="F16" s="36" t="s">
        <v>342</v>
      </c>
      <c r="G16" s="36">
        <v>2</v>
      </c>
      <c r="I16" s="36" t="s">
        <v>1061</v>
      </c>
    </row>
    <row r="17" spans="1:9">
      <c r="A17" s="425" t="s">
        <v>22</v>
      </c>
      <c r="B17" s="305">
        <f>IF(VLOOKUP(海外居住者のための収入等申告書!F25,計算シート!$F$3:$G$10,2,0)=4,1,0)*T13人的控除!$B$44</f>
        <v>0</v>
      </c>
      <c r="C17" s="305">
        <f>SUM(海外居住者のための収入等申告書!F58,C39,IF(VLOOKUP(海外居住者のための収入等申告書!$F$39,計算シート!$F$3:$G$10,2,0)=4,1,0),IF(AND(D10="e",VLOOKUP(海外居住者のための収入等申告書!$L$39,計算シート!$F$3:$G$10,2,0)=4),1,0))*T13人的控除!$B$44</f>
        <v>0</v>
      </c>
      <c r="D17" s="305">
        <f>SUM(海外居住者のための収入等申告書!L58,D39,IF(VLOOKUP(海外居住者のための収入等申告書!$L$39,計算シート!$F$3:$G$10,2,0)=4,1,0),IF(AND(C10="e",VLOOKUP(海外居住者のための収入等申告書!$F$39,計算シート!$F$3:$G$10,2,0)=4),1,0))*T13人的控除!$B$44</f>
        <v>0</v>
      </c>
      <c r="F17" s="36" t="s">
        <v>343</v>
      </c>
      <c r="G17" s="36">
        <v>3</v>
      </c>
      <c r="I17" s="36"/>
    </row>
    <row r="18" spans="1:9">
      <c r="A18" s="425" t="s">
        <v>23</v>
      </c>
      <c r="B18" s="305">
        <f>IF(VLOOKUP(海外居住者のための収入等申告書!F25,計算シート!$F$3:$G$10,2,0)=5,1,0)*T13人的控除!$B$45</f>
        <v>0</v>
      </c>
      <c r="C18" s="305">
        <f>SUM(海外居住者のための収入等申告書!F59,C40,IF(VLOOKUP(海外居住者のための収入等申告書!$F$39,計算シート!$F$3:$G$10,2,0)=5,1,0),IF(AND($D$10="e",VLOOKUP(海外居住者のための収入等申告書!$F$38,計算シート!$F$3:$G$10,2,0)=2,VLOOKUP(海外居住者のための収入等申告書!$L$39,計算シート!$F$3:$G$10,2,0)=5),1,0))*T13人的控除!B45</f>
        <v>0</v>
      </c>
      <c r="D18" s="305">
        <f>SUM(海外居住者のための収入等申告書!L59,D40,IF(VLOOKUP(海外居住者のための収入等申告書!L39,計算シート!$F$3:$G$10,2,0)=5,1,0),IF(AND(C10="e",VLOOKUP(海外居住者のための収入等申告書!$F$38,計算シート!$F$3:$G$10,2,0)=2,VLOOKUP(海外居住者のための収入等申告書!$F$39,計算シート!$F$3:$G$10,2,0)=5),1,0))*T13人的控除!B45</f>
        <v>0</v>
      </c>
      <c r="F18" s="36" t="s">
        <v>348</v>
      </c>
      <c r="G18" s="36">
        <v>4</v>
      </c>
      <c r="I18" s="36"/>
    </row>
    <row r="19" spans="1:9">
      <c r="A19" s="425" t="s">
        <v>24</v>
      </c>
      <c r="B19" s="305">
        <v>0</v>
      </c>
      <c r="C19" s="305">
        <f>SUM(海外居住者のための収入等申告書!F60,C41,IF(AND($D$10="e",VLOOKUP(海外居住者のための収入等申告書!$F$38,計算シート!$F$3:$G$10,2,0)=1,VLOOKUP(海外居住者のための収入等申告書!$L$39,計算シート!$F$3:$G$10,2,0)=5),1,0))*T13人的控除!B46</f>
        <v>0</v>
      </c>
      <c r="D19" s="305">
        <f>SUM(海外居住者のための収入等申告書!L60,D41,IF(AND($C$10="e",VLOOKUP(海外居住者のための収入等申告書!$F$38,計算シート!$F$3:$G$10,2,0)=1,VLOOKUP(海外居住者のための収入等申告書!$F$39,計算シート!$F$3:$G$10,2,0)=5),1,0))*T13人的控除!B46</f>
        <v>0</v>
      </c>
      <c r="F19" s="36" t="s">
        <v>754</v>
      </c>
      <c r="G19" s="36">
        <v>5</v>
      </c>
      <c r="I19" s="36"/>
    </row>
    <row r="20" spans="1:9">
      <c r="A20" s="309" t="s">
        <v>324</v>
      </c>
      <c r="B20" s="305">
        <f>IF(AND(B8&lt;=T13人的控除!B57+IF($C$51=1,100000,0),SUM(計算シート!B6:B7)&lt;=100000),T13人的控除!B50,0)</f>
        <v>260000</v>
      </c>
      <c r="C20" s="305">
        <f>IFERROR(IF(海外居住者のための収入等申告書!F36="はい",0,IF(AND(C22=0,C21=0,VLOOKUP(海外居住者のための収入等申告書!F40,計算シート!$F$3:$G$10,2,0)=7,OR(海外居住者のための収入等申告書!I15="祖母",海外居住者のための収入等申告書!I15="母"),SUM(C36:C38,海外居住者のための収入等申告書!F51:F55)&gt;0),T13人的控除!$B$47,0)),0)</f>
        <v>0</v>
      </c>
      <c r="D20" s="305">
        <v>0</v>
      </c>
      <c r="F20" s="36" t="s">
        <v>755</v>
      </c>
      <c r="G20" s="36">
        <v>6</v>
      </c>
      <c r="I20" s="36" t="s">
        <v>1071</v>
      </c>
    </row>
    <row r="21" spans="1:9">
      <c r="A21" s="425" t="s">
        <v>26</v>
      </c>
      <c r="B21" s="305">
        <v>0</v>
      </c>
      <c r="C21" s="305">
        <v>0</v>
      </c>
      <c r="D21" s="305">
        <v>0</v>
      </c>
      <c r="F21" s="36" t="s">
        <v>756</v>
      </c>
      <c r="G21" s="36">
        <v>7</v>
      </c>
      <c r="I21" s="36"/>
    </row>
    <row r="22" spans="1:9">
      <c r="A22" s="425" t="s">
        <v>732</v>
      </c>
      <c r="B22" s="305">
        <v>0</v>
      </c>
      <c r="C22" s="305">
        <f>IFERROR(IF(海外居住者のための収入等申告書!F36="はい",0,IF(AND(海外居住者のための収入等申告書!F40="ひとり親である",SUM(C36:C38,海外居住者のための収入等申告書!F51:F53,MAX(0,海外居住者のための収入等申告書!F55-海外居住者のための収入等申告書!H55))&gt;0,C8&lt;=T13人的控除!$B$54),T13人的控除!$B$48,0)),0)</f>
        <v>0</v>
      </c>
      <c r="D22" s="305">
        <v>0</v>
      </c>
      <c r="F22" s="36"/>
      <c r="G22" s="36"/>
      <c r="I22" s="36"/>
    </row>
    <row r="23" spans="1:9">
      <c r="A23" s="425" t="s">
        <v>31</v>
      </c>
      <c r="B23" s="305">
        <f>T13人的控除!$B$2</f>
        <v>430000</v>
      </c>
      <c r="C23" s="305">
        <f>T13人的控除!$B$2</f>
        <v>430000</v>
      </c>
      <c r="D23" s="305">
        <f>T13人的控除!B2</f>
        <v>430000</v>
      </c>
      <c r="I23" s="305" t="s">
        <v>1058</v>
      </c>
    </row>
    <row r="24" spans="1:9">
      <c r="A24" s="425" t="s">
        <v>28</v>
      </c>
      <c r="B24" s="305">
        <v>0</v>
      </c>
      <c r="C24" s="305">
        <f>SUM(海外居住者のための収入等申告書!F51:F53,海外居住者のための収入等申告書!F55:F57,C36:C38,IF(D10="e",1,0),'計算シート2(特定親族)'!L8)</f>
        <v>2</v>
      </c>
      <c r="D24" s="305">
        <f>SUM(海外居住者のための収入等申告書!L51:L53,海外居住者のための収入等申告書!L55:L57,D36:D38,IF(C10="e",1,0),'計算シート2(特定親族)'!L20)</f>
        <v>0</v>
      </c>
      <c r="F24" s="36" t="s">
        <v>892</v>
      </c>
      <c r="G24" s="36">
        <v>1</v>
      </c>
      <c r="I24" s="36" t="s">
        <v>1062</v>
      </c>
    </row>
    <row r="25" spans="1:9">
      <c r="A25" s="425" t="s">
        <v>29</v>
      </c>
      <c r="B25" s="305">
        <f>SUM(B3,B5,B7)*0.15</f>
        <v>0</v>
      </c>
      <c r="C25" s="305">
        <f>SUM(C3,C5,C7)*0.15</f>
        <v>0</v>
      </c>
      <c r="D25" s="305">
        <f>SUM(D3,D5,D7)*0.15</f>
        <v>0</v>
      </c>
      <c r="F25" s="36" t="s">
        <v>893</v>
      </c>
      <c r="G25" s="36">
        <v>2</v>
      </c>
      <c r="I25" s="36"/>
    </row>
    <row r="26" spans="1:9">
      <c r="A26" s="425" t="s">
        <v>32</v>
      </c>
      <c r="B26" s="305">
        <f>T13人的控除!$B$51+100000</f>
        <v>450000</v>
      </c>
      <c r="C26" s="305">
        <f>T13人的控除!$B$51*SUM(1,C24)+IF(SUM(C24)&gt;0,T13人的控除!$B$52,0)+100000</f>
        <v>1470000</v>
      </c>
      <c r="D26" s="305">
        <f>T13人的控除!$B$51*SUM(1,D24)+IF(SUM(D24)&gt;0,T13人的控除!$B$52,0)+100000</f>
        <v>450000</v>
      </c>
      <c r="F26" s="36" t="s">
        <v>897</v>
      </c>
      <c r="G26" s="36">
        <v>3</v>
      </c>
      <c r="I26" s="305" t="s">
        <v>1058</v>
      </c>
    </row>
    <row r="27" spans="1:9">
      <c r="A27" s="425" t="s">
        <v>33</v>
      </c>
      <c r="B27" s="305">
        <f>IF(OR(VLOOKUP(海外居住者のための収入等申告書!F25,計算シート!$F$3:$G$10,2,0)&gt;3,IF(OR(C45&lt;2023,AND(C45=2022,C46=0)),B2&lt;20,B2&lt;18)),T13人的控除!$B$53,0)</f>
        <v>0</v>
      </c>
      <c r="C27" s="305">
        <f>IF(OR(SUM(C20:C22)&gt;0,VLOOKUP(海外居住者のための収入等申告書!$F$39,計算シート!$F$3:$G$10,2,0)&gt;3,IF(OR(C45&lt;2023,AND(C45=2022,C46=0)),C2&lt;20,C2&lt;18)),T13人的控除!$B$53,0)</f>
        <v>0</v>
      </c>
      <c r="D27" s="305">
        <f>IF(OR(SUM(D20:D22)&gt;0,VLOOKUP(海外居住者のための収入等申告書!$L$39,計算シート!$F$3:$G$10,2,0)&gt;3,IF(OR(C45&lt;2023,AND(C45=2022,C46=0)),D2&lt;20,D2&lt;18)),T13人的控除!$B$53,0)</f>
        <v>0</v>
      </c>
      <c r="F27" s="36" t="s">
        <v>898</v>
      </c>
      <c r="G27" s="36">
        <v>4</v>
      </c>
      <c r="I27" s="305" t="s">
        <v>1058</v>
      </c>
    </row>
    <row r="28" spans="1:9">
      <c r="A28" s="425" t="s">
        <v>212</v>
      </c>
      <c r="B28" s="305">
        <f>SUM(B11:B23,B25)</f>
        <v>690000</v>
      </c>
      <c r="C28" s="305">
        <f>SUM(C11:C23,C25)</f>
        <v>1140000</v>
      </c>
      <c r="D28" s="305">
        <f>SUM(D11:D23,D25)</f>
        <v>430000</v>
      </c>
      <c r="F28" s="36" t="s">
        <v>894</v>
      </c>
      <c r="G28" s="36">
        <v>5</v>
      </c>
      <c r="I28" s="36"/>
    </row>
    <row r="29" spans="1:9">
      <c r="A29" s="425" t="s">
        <v>30</v>
      </c>
      <c r="B29" s="305">
        <f>IF(B8-B28&lt;0,0,ROUNDDOWN(B8-B28,-3))</f>
        <v>0</v>
      </c>
      <c r="C29" s="305">
        <f>IF(C8-C28&lt;0,0,ROUNDDOWN(C8-C28,-3))</f>
        <v>0</v>
      </c>
      <c r="D29" s="305">
        <f>IF(D8-D28&lt;0,0,ROUNDDOWN(D8-D28,-3))</f>
        <v>0</v>
      </c>
      <c r="F29" s="36"/>
      <c r="G29" s="36"/>
      <c r="I29" s="36"/>
    </row>
    <row r="30" spans="1:9">
      <c r="A30" s="425" t="s">
        <v>34</v>
      </c>
      <c r="B30" s="305">
        <f>B29*T16税率等!$B$2/100</f>
        <v>0</v>
      </c>
      <c r="C30" s="305">
        <f>C29*T16税率等!$B$2/100</f>
        <v>0</v>
      </c>
      <c r="D30" s="305">
        <f>D29*T16税率等!$B$2/100</f>
        <v>0</v>
      </c>
      <c r="I30" s="36"/>
    </row>
    <row r="31" spans="1:9">
      <c r="A31" s="425" t="s">
        <v>213</v>
      </c>
      <c r="B31" s="305">
        <v>0</v>
      </c>
      <c r="C31" s="305">
        <f>IF(C10="A",IF(D10="e",IF(D2&gt;=70,T15調整控除!$B$6,T15調整控除!$B$3),IF(D10="f",T15調整控除!$B$9,IF(D10="g",T15調整控除!$B$10,IF(D10="h",T15調整控除!$B$11,IF(D10="i",T15調整控除!$B$12,IF(D10="j",T15調整控除!$B$13,IF(D10="k",T15調整控除!$B$14,IF(D10="l",T15調整控除!$B$15,IF(D10="m",T15調整控除!$B$16,IF(D10="n",T15調整控除!$B$17,IF(D10="o",T15調整控除!$B$18,0))))))))))),IF(C10="B",IF(D10="e",IF(D2&gt;=70,T15調整控除!$B$7,T15調整控除!$B$4),IF(D10="f",T15調整控除!$B$19,IF(D10="g",T15調整控除!$B$20,IF(D10="h",T15調整控除!$B$21,IF(D10="i",T15調整控除!$B$22,IF(D10="j",T15調整控除!$B$23,IF(D10="k",T15調整控除!$B$24,IF(D10="l",T15調整控除!$B$25,IF(D10="m",T15調整控除!$B$26,IF(D10="n",T15調整控除!$B$27,IF(D10="o",T15調整控除!$B$28,0))))))))))),IF(C10="C",IF(D10="e",IF(D2&gt;=70,T15調整控除!$B$8,T15調整控除!$B$5),IF(D10="f",T15調整控除!$B$29,IF(D10="g",T15調整控除!$B$30,IF(D10="h",T15調整控除!$B$31,IF(D10="i",T15調整控除!$B$32,IF(D10="j",T15調整控除!$B$33,IF(D10="k",T15調整控除!$B$34,IF(D10="l",T15調整控除!$B$35,IF(D10="m",T15調整控除!$B$36,IF(D10="n",T15調整控除!$B$37,IF(D10="o",T15調整控除!$B$38,0))))))))))),0)))</f>
        <v>100000</v>
      </c>
      <c r="D31" s="305">
        <f>IF(D10="A",IF(C10="e",IF(C2&gt;=70,T15調整控除!$B$6,T15調整控除!$B$3),IF(C10="f",T15調整控除!$B$9,IF(C10="g",T15調整控除!$B$10,IF(C10="h",T15調整控除!$B$11,IF(C10="i",T15調整控除!$B$12,IF(C10="j",T15調整控除!$B$13,IF(C10="k",T15調整控除!$B$14,IF(C10="l",T15調整控除!$B$15,IF(C10="m",T15調整控除!$B$16,IF(C10="n",T15調整控除!$B$17,IF(C10="o",T15調整控除!$B$18,0))))))))))),IF(D10="B",IF(C10="e",IF(C2&gt;=70,T15調整控除!$B$7,T15調整控除!$B$4),IF(C10="f",T15調整控除!$B$19,IF(C10="g",T15調整控除!$B$20,IF(C10="h",T15調整控除!$B$21,IF(C10="i",T15調整控除!$B$22,IF(C10="j",T15調整控除!$B$23,IF(C10="k",T15調整控除!$B$24,IF(C10="l",T15調整控除!$B$25,IF(C10="m",T15調整控除!$B$26,IF(C10="n",T15調整控除!$B$27,IF(C10="o",T15調整控除!$B$28,0))))))))))),IF(D10="C",IF(C10="e",IF(C2&gt;=70,T15調整控除!$B$8,T15調整控除!$B$5),IF(C10="f",T15調整控除!$B$29,IF(C10="g",T15調整控除!$B$30,IF(C10="h",T15調整控除!$B$31,IF(C10="i",T15調整控除!$B$32,IF(C10="j",T15調整控除!$B$33,IF(C10="k",T15調整控除!$B$34,IF(C10="l",T15調整控除!$B$35,IF(C10="m",T15調整控除!$B$36,IF(C10="n",T15調整控除!$B$37,IF(C10="o",T15調整控除!$B$38,0))))))))))),0)))</f>
        <v>0</v>
      </c>
      <c r="I31" s="36"/>
    </row>
    <row r="32" spans="1:9">
      <c r="A32" s="425" t="s">
        <v>35</v>
      </c>
      <c r="B32" s="305">
        <f>SUM(T15調整控除!$B$2,B12/T13人的控除!$B$39*T15調整控除!$B$39,B13/T13人的控除!$B$40*T15調整控除!$B$40,B14/T13人的控除!$B$41*T15調整控除!$B$41,B15/T13人的控除!$B$42*T15調整控除!$B$42,B17/T13人的控除!$B$44*T15調整控除!$B$44,B18/T13人的控除!$B$45*T15調整控除!$B$45,B19/T13人的控除!$B$46*T15調整控除!$B$46,B20/T13人的控除!$B$47*T15調整控除!$B$47,B21/T13人的控除!$B$48*T15調整控除!$B$48,B22/T13人的控除!$B$49*T15調整控除!$B$49,B31)</f>
        <v>60000</v>
      </c>
      <c r="C32" s="305">
        <f>SUM(T15調整控除!$B$2,C12/T13人的控除!$B$39*T15調整控除!$B$39,C13/T13人的控除!$B$40*T15調整控除!$B$40,C14/T13人的控除!$B$41*T15調整控除!$B$41,C15/T13人的控除!$B$42*T15調整控除!$B$42,C17/T13人的控除!$B$44*T15調整控除!$B$44,C18/T13人的控除!$B$45*T15調整控除!$B$45,C19/T13人的控除!$B$46*T15調整控除!$B$46,C20/T13人的控除!$B$47*T15調整控除!$B$47,C21/T13人的控除!$B$48*T15調整控除!$B$48,C22/T13人的控除!$B$49*T15調整控除!$B$49,C31)</f>
        <v>200000</v>
      </c>
      <c r="D32" s="305">
        <f>SUM(T15調整控除!$B$2,D12/T13人的控除!$B$39*T15調整控除!$B$39,D13/T13人的控除!$B$40*T15調整控除!$B$40,D14/T13人的控除!$B$41*T15調整控除!$B$41,D15/T13人的控除!$B$42*T15調整控除!$B$42,D17/T13人的控除!$B$44*T15調整控除!$B$44,D18/T13人的控除!$B$45*T15調整控除!$B$45,D19/T13人的控除!$B$46*T15調整控除!$B$46,D20/T13人的控除!$B$47*T15調整控除!$B$47,D21/T13人的控除!$B$48*T15調整控除!$B$48,D22/T13人的控除!$B$49*T15調整控除!$B$49,D31)</f>
        <v>50000</v>
      </c>
      <c r="I32" s="36"/>
    </row>
    <row r="33" spans="1:9">
      <c r="A33" s="425" t="s">
        <v>36</v>
      </c>
      <c r="B33" s="305">
        <f>ROUNDDOWN(IF(B29&lt;=T15調整控除!$B$51,IF((MIN(B32,B29))&lt;0,0,MIN(B32,B29))*T15調整控除!$B$52/100,IF((B32-(B29-T15調整控除!$B$51))*T15調整控除!$B$52/100&lt;T15調整控除!$B$53,T15調整控除!$B$53,(B32-(B29-T15調整控除!$B$51))*T15調整控除!$B$52/100)),0)</f>
        <v>0</v>
      </c>
      <c r="C33" s="305">
        <f>ROUNDDOWN(IF(C29&lt;=T15調整控除!$B$51,IF((MIN(C32,C29))&lt;0,0,MIN(C32,C29))*T15調整控除!$B$52/100,IF((C32-(C29-T15調整控除!$B$51))*T15調整控除!$B$52/100&lt;T15調整控除!$B$53,T15調整控除!$B$53,(C32-(C29-T15調整控除!$B$51))*T15調整控除!$B$52/100)),0)</f>
        <v>0</v>
      </c>
      <c r="D33" s="305">
        <f>ROUNDDOWN(IF(D29&lt;=T15調整控除!$B$51,IF((MIN(D32,D29))&lt;0,0,MIN(D32,D29))*T15調整控除!$B$52/100,IF((D32-(D29-T15調整控除!$B$51))*T15調整控除!$B$52/100&lt;T15調整控除!$B$53,T15調整控除!$B$53,(D32-(D29-T15調整控除!$B$51))*T15調整控除!$B$52/100)),0)</f>
        <v>0</v>
      </c>
      <c r="I33" s="36"/>
    </row>
    <row r="34" spans="1:9">
      <c r="A34" s="425" t="s">
        <v>37</v>
      </c>
      <c r="B34" s="305">
        <f>IF((((B26-B8)*T16税率等!$B$2/10)+ROUNDDOWN(B30-B33,-2))&lt;0,0,(((B26-B8)*T16税率等!$B$2/10)+ROUNDDOWN(B30-B33,-2)))</f>
        <v>270000</v>
      </c>
      <c r="C34" s="305">
        <f>IF((((C26-C8)*T16税率等!$B$2/10)+ROUNDDOWN(C30-C33,-2))&lt;0,0,(((C26-C8)*T16税率等!$B$2/10)+ROUNDDOWN(C30-C33,-2)))</f>
        <v>882000</v>
      </c>
      <c r="D34" s="305">
        <f>IF((((D26-D8)*T16税率等!$B$2/10)+ROUNDDOWN(D30-D33,-2))&lt;0,0,(((D26-D8)*T16税率等!$B$2/10)+ROUNDDOWN(D30-D33,-2)))</f>
        <v>270000</v>
      </c>
      <c r="I34" s="36"/>
    </row>
    <row r="35" spans="1:9">
      <c r="A35" s="425" t="s">
        <v>460</v>
      </c>
      <c r="B35" s="305">
        <f>IFERROR(IF(OR(B8&lt;=B27,B8&lt;=B26,B30-B33-B34&lt;0),0,ROUNDDOWN(B30-B33-B34,-2)),"エラー")</f>
        <v>0</v>
      </c>
      <c r="C35" s="305">
        <f>IFERROR(IF(OR(C8&lt;=C27,C8&lt;=C26,C30-C33-C34&lt;0),0,ROUNDDOWN(C30-C33-C34,-2)),"エラー")</f>
        <v>0</v>
      </c>
      <c r="D35" s="305">
        <f>IFERROR(IF(OR(D1="生計維持者２",D1="申込者本人の配偶者"),IF(VLOOKUP(海外居住者のための収入等申告書!F37,計算シート!F3:G13,2,0)=2,0,IF(OR(D8&lt;=D27,D8&lt;=D26,D30-D33-D34&lt;0),0,ROUNDDOWN(D30-D33-D34,-2))),0),"エラー")</f>
        <v>0</v>
      </c>
      <c r="I35" s="36" t="s">
        <v>1076</v>
      </c>
    </row>
    <row r="36" spans="1:9">
      <c r="A36" s="311" t="s">
        <v>236</v>
      </c>
      <c r="B36" s="313"/>
      <c r="C36" s="305">
        <f>IF(C69=0,IF(VLOOKUP(海外居住者のための収入等申告書!$F$24,計算シート!$F$11:$G$13,2,0)=9,IF(AND($B$2&lt;16,$B$8&lt;=IF($C$51=1,T11所得区分!$B$31,T11所得区分!$B$5)),1,0),0),0)</f>
        <v>0</v>
      </c>
      <c r="D36" s="305">
        <f>IF(C69=0,IF(VLOOKUP(海外居住者のための収入等申告書!$F$24,計算シート!$F$11:$G$13,2,0)=10,IF(AND($B$2&lt;16,$B$8&lt;=IF($C$51=1,T11所得区分!$B$31,T11所得区分!$B$5)),1,0),0),0)</f>
        <v>0</v>
      </c>
      <c r="I36" s="305" t="s">
        <v>1072</v>
      </c>
    </row>
    <row r="37" spans="1:9">
      <c r="A37" s="311" t="s">
        <v>230</v>
      </c>
      <c r="B37" s="314"/>
      <c r="C37" s="36">
        <f>IF(C69=0,IF(VLOOKUP(海外居住者のための収入等申告書!$F$24,計算シート!$F$11:$G$13,2,0)=9,IF(AND(OR(AND($B$2&gt;=16,$B$2&lt;=18),$B$2&gt;22),$B$8&lt;=IF($C$51=1,T11所得区分!$B$31,T11所得区分!$B$5)),1,0),0),0)</f>
        <v>1</v>
      </c>
      <c r="D37" s="36">
        <f>IF(C69=0,IF(VLOOKUP(海外居住者のための収入等申告書!$F$24,計算シート!$F$11:$G$13,2,0)=10,IF(AND(OR(AND($B$2&gt;=16,$B$2&lt;=18),$B$2&gt;22),$B$8&lt;=IF($C$51=1,T11所得区分!$B$31,T11所得区分!$B$5)),1,0),0),0)</f>
        <v>0</v>
      </c>
      <c r="I37" s="305" t="s">
        <v>1072</v>
      </c>
    </row>
    <row r="38" spans="1:9">
      <c r="A38" s="311" t="s">
        <v>231</v>
      </c>
      <c r="B38" s="314"/>
      <c r="C38" s="36">
        <f>IF(C69=0,IF(VLOOKUP(海外居住者のための収入等申告書!$F$24,計算シート!$F$11:$G$13,2,0)=9,IF(AND(AND($B$2&gt;=19,$B$2&lt;=22),$B$8&lt;=IF($C$51=1,T11所得区分!$B$31,T11所得区分!$B$5)),1,0),0),0)</f>
        <v>0</v>
      </c>
      <c r="D38" s="36">
        <f>IF(C69=0,IF(VLOOKUP(海外居住者のための収入等申告書!$F$24,計算シート!$F$11:$G$13,2,0)=10,IF(AND(AND($B$2&gt;=19,$B$2&lt;=22),$B$8&lt;=IF($C$51=1,T11所得区分!$B$31,T11所得区分!$B$5)),1,0),0),0)</f>
        <v>0</v>
      </c>
      <c r="I38" s="305" t="s">
        <v>1072</v>
      </c>
    </row>
    <row r="39" spans="1:9">
      <c r="A39" s="311" t="s">
        <v>232</v>
      </c>
      <c r="B39" s="314"/>
      <c r="C39" s="36">
        <f>IF(C69=0,IF(AND(SUM(C36:C38)&gt;0,$B$17&gt;0),1,0),0)</f>
        <v>0</v>
      </c>
      <c r="D39" s="36">
        <f>IF(C69=0,IF(AND(SUM(D36:D38)&gt;0,$B$17&gt;0),1,0),0)</f>
        <v>0</v>
      </c>
      <c r="I39" s="36"/>
    </row>
    <row r="40" spans="1:9">
      <c r="A40" s="311" t="s">
        <v>233</v>
      </c>
      <c r="B40" s="314"/>
      <c r="C40" s="36">
        <f>IF(C69=0,IF(AND(SUM(C36:C38)&gt;0,$B$18&gt;0,C41=0),1,0),0)</f>
        <v>0</v>
      </c>
      <c r="D40" s="36">
        <f>IF(C69=0,IF(AND(SUM(D36:D38)&gt;0,$B$18&gt;0,D41=0),1,0),0)</f>
        <v>0</v>
      </c>
      <c r="I40" s="36"/>
    </row>
    <row r="41" spans="1:9">
      <c r="A41" s="311" t="s">
        <v>234</v>
      </c>
      <c r="B41" s="314"/>
      <c r="C41" s="36">
        <f>IF(C69=0,IF(AND(SUM(C36:C38)&gt;0,$B$18&gt;0,VLOOKUP(海外居住者のための収入等申告書!$F$26,計算シート!$F$3:$G$13,2,0)=1),1,0),0)</f>
        <v>0</v>
      </c>
      <c r="D41" s="36">
        <f>IF(C69=0,IF(AND(SUM(D36:D38)&gt;0,$B$18&gt;0,VLOOKUP(海外居住者のための収入等申告書!$F$26,計算シート!$F$3:$G$13,2,0)=1),1,0),0)</f>
        <v>0</v>
      </c>
      <c r="I41" s="36"/>
    </row>
    <row r="42" spans="1:9">
      <c r="A42" s="311" t="s">
        <v>258</v>
      </c>
      <c r="B42" s="314"/>
      <c r="C42" s="305">
        <f>SUM(C3,C5)</f>
        <v>0</v>
      </c>
      <c r="D42" s="305">
        <f>SUM(D3,D5)</f>
        <v>0</v>
      </c>
      <c r="I42" s="36"/>
    </row>
    <row r="43" spans="1:9">
      <c r="A43" s="311" t="s">
        <v>259</v>
      </c>
      <c r="B43" s="314"/>
      <c r="C43" s="305">
        <f>C7</f>
        <v>0</v>
      </c>
      <c r="D43" s="305">
        <f>D7</f>
        <v>0</v>
      </c>
      <c r="I43" s="36"/>
    </row>
    <row r="44" spans="1:9">
      <c r="A44" s="311" t="s">
        <v>341</v>
      </c>
      <c r="B44" s="314"/>
      <c r="C44" s="36">
        <f>IFERROR(VLOOKUP(海外居住者のための収入等申告書!L10,計算シート!F15:G22,2,0),0)</f>
        <v>4</v>
      </c>
      <c r="I44" s="36"/>
    </row>
    <row r="45" spans="1:9">
      <c r="A45" s="311" t="s">
        <v>345</v>
      </c>
      <c r="B45" s="314"/>
      <c r="C45" s="36">
        <f>IF(海外居住者のための収入等申告書!D10=0,"未入力",海外居住者のための収入等申告書!D10)</f>
        <v>2026</v>
      </c>
      <c r="I45" s="36"/>
    </row>
    <row r="46" spans="1:9">
      <c r="A46" s="311" t="s">
        <v>350</v>
      </c>
      <c r="B46" s="314"/>
      <c r="C46" s="36">
        <f>IF(OR(C44=2,C44=6),0,1)</f>
        <v>1</v>
      </c>
      <c r="I46" s="36"/>
    </row>
    <row r="47" spans="1:9">
      <c r="A47" s="311" t="s">
        <v>347</v>
      </c>
      <c r="B47" s="314"/>
      <c r="C47" s="307">
        <f>IF(C46=0,DATE(C45-1,1,1),DATE(C45,1,1))</f>
        <v>46023</v>
      </c>
      <c r="I47" s="36"/>
    </row>
    <row r="48" spans="1:9">
      <c r="A48" s="311" t="s">
        <v>357</v>
      </c>
      <c r="B48" s="314"/>
      <c r="C48" s="36">
        <f>YEAR(前年レート!K3)</f>
        <v>2024</v>
      </c>
      <c r="I48" s="36"/>
    </row>
    <row r="49" spans="1:9">
      <c r="A49" s="311" t="s">
        <v>358</v>
      </c>
      <c r="B49" s="314"/>
      <c r="C49" s="36">
        <f>YEAR(当年レート!K3)</f>
        <v>2025</v>
      </c>
      <c r="I49" s="36"/>
    </row>
    <row r="50" spans="1:9">
      <c r="A50" s="311" t="s">
        <v>359</v>
      </c>
      <c r="B50" s="314"/>
      <c r="C50" s="36">
        <f>IF(YEAR(C47)-1=C48,1,IF(YEAR(C47)-1=C49,2,0))</f>
        <v>2</v>
      </c>
      <c r="I50" s="36"/>
    </row>
    <row r="51" spans="1:9">
      <c r="A51" s="311" t="s">
        <v>459</v>
      </c>
      <c r="B51" s="314"/>
      <c r="C51" s="36">
        <f>IF(C45&lt;=2025,0,IF(AND(C45=2026,OR(C44=2,C44=6)),0,1))</f>
        <v>1</v>
      </c>
      <c r="I51" s="36" t="s">
        <v>1073</v>
      </c>
    </row>
    <row r="52" spans="1:9">
      <c r="A52" s="311" t="s">
        <v>1094</v>
      </c>
      <c r="B52" s="314"/>
      <c r="C52" s="305">
        <f>MAX(IF(AND($C$51=1,C3&lt;T11所得区分!$B$32),C3-T12給与所得!$B$62,IF(C3&lt;T11所得区分!$B$16,T12給与所得!$B$2,IF(C3&lt;T11所得区分!$B$17,C3-T12給与所得!$B$13,IF(C3&lt;T11所得区分!$B$18,T12給与所得!$B$4,IF(C3&lt;T11所得区分!$B$19,T12給与所得!$B$5,IF(C3&lt;T11所得区分!$B$20,T12給与所得!$B$6,IF(C3&lt;T11所得区分!$B$21,T12給与所得!$B$7,IF(C3&lt;T11所得区分!$B$22,ROUNDDOWN(C3/4000,0)*4000*T12給与所得!$B$19-T12給与所得!$B$14,IF(C3&lt;T11所得区分!$B$23,ROUNDDOWN(C3/4000,0)*4000*T12給与所得!$B$20-T12給与所得!$B$15,IF(C3&lt;T11所得区分!$B$24,ROUNDDOWN(C3/4000,0)*4000*T12給与所得!$B$21-T12給与所得!$B$16,IF(C3&lt;T11所得区分!$B$25,C3*T12給与所得!$B$22-T12給与所得!$B$17,C3-T12給与所得!$B$18))))))))))),0)</f>
        <v>0</v>
      </c>
      <c r="D52" s="305">
        <f>MAX(IF(AND($C$51=1,D3&lt;T11所得区分!$B$32),D3-T12給与所得!$B$62,IF(D3&lt;T11所得区分!$B$16,T12給与所得!$B$2,IF(D3&lt;T11所得区分!$B$17,D3-T12給与所得!$B$13,IF(D3&lt;T11所得区分!$B$18,T12給与所得!$B$4,IF(D3&lt;T11所得区分!$B$19,T12給与所得!$B$5,IF(D3&lt;T11所得区分!$B$20,T12給与所得!$B$6,IF(D3&lt;T11所得区分!$B$21,T12給与所得!$B$7,IF(D3&lt;T11所得区分!$B$22,ROUNDDOWN(D3/4000,0)*4000*T12給与所得!$B$19-T12給与所得!$B$14,IF(D3&lt;T11所得区分!$B$23,ROUNDDOWN(D3/4000,0)*4000*T12給与所得!$B$20-T12給与所得!$B$15,IF(D3&lt;T11所得区分!$B$24,ROUNDDOWN(D3/4000,0)*4000*T12給与所得!$B$21-T12給与所得!$B$16,IF(D3&lt;T11所得区分!$B$25,D3*T12給与所得!$B$22-T12給与所得!$B$17,D3-T12給与所得!$B$18))))))))))),0)</f>
        <v>0</v>
      </c>
      <c r="I52" s="36" t="s">
        <v>1074</v>
      </c>
    </row>
    <row r="53" spans="1:9">
      <c r="A53" s="311" t="s">
        <v>1093</v>
      </c>
      <c r="B53" s="314"/>
      <c r="C53" s="305">
        <f>MAX(SUM(C52,C6,C7)-C55,0)</f>
        <v>0</v>
      </c>
      <c r="D53" s="305">
        <f>MAX(SUM(D52,D6,D7)-D55,0)</f>
        <v>0</v>
      </c>
      <c r="I53" s="36" t="s">
        <v>1075</v>
      </c>
    </row>
    <row r="54" spans="1:9">
      <c r="A54" s="311" t="s">
        <v>483</v>
      </c>
      <c r="B54" s="314"/>
      <c r="C54" s="305">
        <f>IF(AND(SUM(海外居住者のための収入等申告書!F51:F53,海外居住者のための収入等申告書!L51:L53,IF(AND($B$2&lt;23,SUM(C36:D38)&gt;0),1,0),C40:D41,IF(OR(海外居住者のための収入等申告書!F39="特別の障がい者である",AND(海外居住者のための収入等申告書!L39="特別の障がい者である",計算シート!D53&lt;T11所得区分!$B$31)),1,0))&gt;0,C3&gt;8500000),ROUNDUP((MIN(C3,T11所得区分!$B$29)-8500000)*0.1,0),0)</f>
        <v>0</v>
      </c>
      <c r="D54" s="305">
        <f>IF(AND(SUM(海外居住者のための収入等申告書!F51:F53,海外居住者のための収入等申告書!L51:L53,IF(AND($B$2&lt;23,SUM(C36:D38)&gt;0),1,0),C40:D41,IF(OR(海外居住者のための収入等申告書!L39="特別の障がい者である",AND(海外居住者のための収入等申告書!F39="特別の障がい者である",計算シート!C53&lt;T11所得区分!$B$31)),1,0))&gt;0,D3&gt;8500000),ROUNDUP((MIN(D3,T11所得区分!$B$29)-8500000)*0.1,0),0)</f>
        <v>0</v>
      </c>
      <c r="I54" s="305" t="s">
        <v>1095</v>
      </c>
    </row>
    <row r="55" spans="1:9">
      <c r="A55" s="312" t="s">
        <v>484</v>
      </c>
      <c r="B55" s="315"/>
      <c r="C55" s="305">
        <f>IF(AND(C52&gt;0,C6&gt;0,SUM(C52,C6)&gt;T11所得区分!$B$30),SUM(MIN(計算シート!C52,T11所得区分!$B$30),MIN(計算シート!C6,T11所得区分!$B$30),-100000),0)</f>
        <v>0</v>
      </c>
      <c r="D55" s="305">
        <f>IF(AND(D52&gt;0,D6&gt;0,SUM(D52,D6)&gt;T11所得区分!$B$30),SUM(MIN(計算シート!D52,T11所得区分!$B$30),MIN(計算シート!D6,T11所得区分!$B$30),-100000),0)</f>
        <v>0</v>
      </c>
      <c r="I55" s="305" t="s">
        <v>1058</v>
      </c>
    </row>
    <row r="56" spans="1:9">
      <c r="A56" s="311" t="s">
        <v>513</v>
      </c>
      <c r="B56" s="314"/>
      <c r="C56" s="36">
        <f>IF(YEAR(C47)&gt;2021,1,0)</f>
        <v>1</v>
      </c>
      <c r="I56" s="36"/>
    </row>
    <row r="57" spans="1:9">
      <c r="A57" s="311" t="s">
        <v>514</v>
      </c>
      <c r="B57" s="314"/>
      <c r="C57" s="36">
        <f>IFERROR(DATEDIF(IF(計算シート!C69=0,海外居住者のための収入等申告書!F23,海外居住者のための収入等申告書!F35),C47-1,"y"),125)</f>
        <v>125</v>
      </c>
      <c r="I57" s="36"/>
    </row>
    <row r="58" spans="1:9">
      <c r="A58" s="311" t="s">
        <v>332</v>
      </c>
      <c r="B58" s="314"/>
      <c r="C58" s="36">
        <f>IFERROR(VALUE(TEXT(MONTH(IF(計算シート!C69=0,海外居住者のための収入等申告書!F23,海外居住者のための収入等申告書!F35)),"00")&amp;TEXT(DAY(IF(計算シート!C69=0,海外居住者のための収入等申告書!F23,海外居住者のための収入等申告書!F35)),"00")),1000)</f>
        <v>1000</v>
      </c>
      <c r="I58" s="36"/>
    </row>
    <row r="59" spans="1:9">
      <c r="A59" s="311" t="s">
        <v>515</v>
      </c>
      <c r="B59" s="314"/>
      <c r="C59" s="36">
        <f>IF(計算シート!C69=0,IFERROR(IF(AND(C56=1,C57=18,C58&gt;101,C58&lt;=401),1,0),0),0)</f>
        <v>0</v>
      </c>
      <c r="I59" s="36"/>
    </row>
    <row r="60" spans="1:9">
      <c r="A60" s="311" t="s">
        <v>1090</v>
      </c>
      <c r="B60" s="314"/>
      <c r="C60" s="36">
        <f>IF(AND(C59=1,SUM(C37)&gt;0,IF(SUM(D37)&gt;0,IF(C35&gt;=D35,1,0),1)&gt;0),7200,0)</f>
        <v>0</v>
      </c>
      <c r="D60" s="36">
        <f>IF(AND(C59=1,SUM(D37)&gt;0,IF(SUM(C37)&gt;0,IF(C35&lt;D35,1,0),1)&gt;0),7200,0)</f>
        <v>0</v>
      </c>
      <c r="I60" s="36" t="s">
        <v>1063</v>
      </c>
    </row>
    <row r="61" spans="1:9">
      <c r="A61" s="311" t="s">
        <v>1056</v>
      </c>
      <c r="B61" s="314"/>
      <c r="C61" s="513">
        <f>IF('計算シート2(特定親族)'!B28="生計維持者１",'計算シート2(特定親族)'!B31+'計算シート2(特定親族)'!B33,0)*T16税率等!$B$2/100</f>
        <v>0</v>
      </c>
      <c r="D61" s="513">
        <f>IF('計算シート2(特定親族)'!B28="生計維持者２",'計算シート2(特定親族)'!B31+'計算シート2(特定親族)'!B33,0)*T16税率等!$B$2/100</f>
        <v>0</v>
      </c>
      <c r="I61" s="36" t="s">
        <v>1064</v>
      </c>
    </row>
    <row r="62" spans="1:9">
      <c r="A62" s="311" t="s">
        <v>1091</v>
      </c>
      <c r="B62" s="314"/>
      <c r="C62" s="305">
        <f>IFERROR(MAX(0,C35-C60-C61),C35)</f>
        <v>0</v>
      </c>
      <c r="D62" s="305">
        <f>IFERROR(MAX(0,D35-D60-D61),D35)</f>
        <v>0</v>
      </c>
      <c r="I62" s="36" t="s">
        <v>1065</v>
      </c>
    </row>
    <row r="63" spans="1:9">
      <c r="A63" s="311" t="s">
        <v>1092</v>
      </c>
      <c r="B63" s="314"/>
      <c r="C63" s="514">
        <f>IFERROR(IF(OR(C8&lt;=C27,C8&lt;=C26,C30-C33-C60-C61&lt;0),0,ROUNDDOWN(C30-C33-C60-C61,-2)),"エラー")</f>
        <v>0</v>
      </c>
      <c r="D63" s="514">
        <f>IFERROR(IF(OR(D1="生計維持者２",D1="申込者本人の配偶者"),IF(VLOOKUP(海外居住者のための収入等申告書!F37,計算シート!F3:G13,2,0)=2,0,IF(OR(D8&lt;=D27,D8&lt;=D26,D30-D33-D60-D61&lt;0),0,ROUNDDOWN(D30-D33-D60-D61,-2))),0),"エラー")</f>
        <v>0</v>
      </c>
      <c r="I63" s="36" t="s">
        <v>1065</v>
      </c>
    </row>
    <row r="64" spans="1:9">
      <c r="A64" s="311" t="s">
        <v>735</v>
      </c>
      <c r="B64" s="314"/>
      <c r="C64" s="36">
        <f>IF(OR(AND(C45&gt;2023,C44&lt;5),AND(C45&gt;2024,C44&gt;=5),AND(C45=2023,C44=1),AND(C45=2024,C44=5)),1,0)</f>
        <v>1</v>
      </c>
      <c r="I64" s="36"/>
    </row>
    <row r="65" spans="1:9">
      <c r="A65" s="311" t="s">
        <v>899</v>
      </c>
      <c r="B65" s="314"/>
      <c r="C65" s="427">
        <f>IFERROR(IF(OR(VLOOKUP(海外居住者のための収入等申告書!I15,計算シート!F24:G29,2,0)&lt;5,海外居住者のための収入等申告書!I13&lt;=海外居住者のための収入等申告書!F35),1,0),0)</f>
        <v>1</v>
      </c>
      <c r="D65" s="36">
        <f>IFERROR(IF(D1="生計維持者２",1,0),0)</f>
        <v>1</v>
      </c>
      <c r="I65" s="36"/>
    </row>
    <row r="66" spans="1:9">
      <c r="A66" s="311" t="s">
        <v>733</v>
      </c>
      <c r="B66" s="314"/>
      <c r="C66" s="305">
        <f>IF(計算シート!C69=0,SUM(海外居住者のための収入等申告書!F51:F53,MAX(0,海外居住者のための収入等申告書!F55-海外居住者のための収入等申告書!H55),'計算シート2(特定親族)'!L8:L9)+IF(D1="生計維持者２",SUM(海外居住者のための収入等申告書!L51:L53,MAX(0,海外居住者のための収入等申告書!L55-海外居住者のための収入等申告書!N55),'計算シート2(特定親族)'!L20:L21),0)+C67,0)</f>
        <v>1</v>
      </c>
      <c r="I66" s="36" t="s">
        <v>1066</v>
      </c>
    </row>
    <row r="67" spans="1:9">
      <c r="A67" s="311" t="s">
        <v>895</v>
      </c>
      <c r="B67" s="314"/>
      <c r="C67" s="36">
        <f>IF(OR(AND(C65=1,SUM(C36:C38)&gt;0),AND(D65=1,SUM(D36:D38)&gt;0),'計算シート2(特定親族)'!B30=1),1,0)</f>
        <v>1</v>
      </c>
      <c r="I67" s="36" t="s">
        <v>1067</v>
      </c>
    </row>
    <row r="68" spans="1:9">
      <c r="A68" s="320" t="s">
        <v>734</v>
      </c>
      <c r="B68" s="321"/>
      <c r="C68" s="515">
        <f>IF(計算シート!C69=0,IF(OR(SUM(C20:D22)&gt;0,AND(SUM(C9:D9)=0,VLOOKUP(海外居住者のための収入等申告書!$I$15,$F$24:$G$29,2,FALSE)&lt;3)),1,0),0)</f>
        <v>0</v>
      </c>
      <c r="I68" s="36" t="s">
        <v>1068</v>
      </c>
    </row>
    <row r="69" spans="1:9">
      <c r="A69" s="357" t="s">
        <v>757</v>
      </c>
      <c r="B69" s="358"/>
      <c r="C69" s="359">
        <f>IF(VLOOKUP(海外居住者のための収入等申告書!L10,計算シート!F14:G22,2,0)&gt;4,1,0)</f>
        <v>0</v>
      </c>
      <c r="I69" s="36"/>
    </row>
    <row r="73" spans="1:9">
      <c r="A73" s="39" t="s">
        <v>512</v>
      </c>
    </row>
    <row r="74" spans="1:9">
      <c r="A74" s="39" t="s">
        <v>508</v>
      </c>
    </row>
    <row r="75" spans="1:9">
      <c r="A75" s="39" t="s">
        <v>509</v>
      </c>
    </row>
    <row r="76" spans="1:9">
      <c r="A76" s="39" t="s">
        <v>510</v>
      </c>
    </row>
    <row r="77" spans="1:9">
      <c r="A77" s="39" t="s">
        <v>507</v>
      </c>
    </row>
    <row r="78" spans="1:9">
      <c r="A78" s="39" t="s">
        <v>511</v>
      </c>
    </row>
  </sheetData>
  <phoneticPr fontId="2"/>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16D15-3508-40CA-8E8E-0CCAD48CE4DF}">
  <dimension ref="A1:O33"/>
  <sheetViews>
    <sheetView topLeftCell="A12" workbookViewId="0">
      <selection activeCell="E18" sqref="E18"/>
    </sheetView>
  </sheetViews>
  <sheetFormatPr defaultColWidth="8.875" defaultRowHeight="13.5"/>
  <cols>
    <col min="1" max="1" width="17.75" style="39" bestFit="1" customWidth="1"/>
    <col min="2" max="10" width="13.625" style="39" customWidth="1"/>
    <col min="11" max="11" width="20.375" style="39" bestFit="1" customWidth="1"/>
    <col min="12" max="13" width="8.875" style="39"/>
    <col min="14" max="14" width="13.875" style="39" bestFit="1" customWidth="1"/>
    <col min="15" max="15" width="14.375" style="39" customWidth="1"/>
    <col min="16" max="16384" width="8.875" style="39"/>
  </cols>
  <sheetData>
    <row r="1" spans="1:15" ht="14.25" thickBot="1">
      <c r="A1" s="516" t="s">
        <v>961</v>
      </c>
      <c r="B1" s="314">
        <v>1</v>
      </c>
      <c r="C1" s="425">
        <v>2</v>
      </c>
      <c r="D1" s="425">
        <v>3</v>
      </c>
      <c r="E1" s="425">
        <v>4</v>
      </c>
      <c r="F1" s="425">
        <v>5</v>
      </c>
      <c r="G1" s="425">
        <v>6</v>
      </c>
      <c r="H1" s="425">
        <v>7</v>
      </c>
      <c r="I1" s="425">
        <v>8</v>
      </c>
      <c r="J1" s="425">
        <v>9</v>
      </c>
      <c r="N1" s="425" t="s">
        <v>17</v>
      </c>
      <c r="O1" s="425" t="s">
        <v>973</v>
      </c>
    </row>
    <row r="2" spans="1:15">
      <c r="A2" s="517"/>
      <c r="B2" s="425" t="s">
        <v>962</v>
      </c>
      <c r="C2" s="425" t="s">
        <v>963</v>
      </c>
      <c r="D2" s="425" t="s">
        <v>964</v>
      </c>
      <c r="E2" s="425" t="s">
        <v>965</v>
      </c>
      <c r="F2" s="425" t="s">
        <v>966</v>
      </c>
      <c r="G2" s="425" t="s">
        <v>967</v>
      </c>
      <c r="H2" s="425" t="s">
        <v>968</v>
      </c>
      <c r="I2" s="425" t="s">
        <v>969</v>
      </c>
      <c r="J2" s="425" t="s">
        <v>970</v>
      </c>
      <c r="N2" s="513">
        <v>0</v>
      </c>
      <c r="O2" s="513">
        <v>450000</v>
      </c>
    </row>
    <row r="3" spans="1:15">
      <c r="A3" s="518" t="s">
        <v>974</v>
      </c>
      <c r="B3" s="36">
        <f>IF(OR(海外居住者のための収入等申告書!$F$54&lt;B1,計算シート!$C$51=0),0,1)</f>
        <v>0</v>
      </c>
      <c r="C3" s="36">
        <f>IF(OR(海外居住者のための収入等申告書!$F$54&lt;C1,計算シート!$C$51=0),0,1)</f>
        <v>0</v>
      </c>
      <c r="D3" s="36">
        <f>IF(OR(海外居住者のための収入等申告書!$F$54&lt;D1,計算シート!$C$51=0),0,1)</f>
        <v>0</v>
      </c>
      <c r="E3" s="36">
        <f>IF(OR(海外居住者のための収入等申告書!$F$54&lt;E1,計算シート!$C$51=0),0,1)</f>
        <v>0</v>
      </c>
      <c r="F3" s="36">
        <f>IF(OR(海外居住者のための収入等申告書!$F$54&lt;F1,計算シート!$C$51=0),0,1)</f>
        <v>0</v>
      </c>
      <c r="G3" s="36">
        <f>IF(OR(海外居住者のための収入等申告書!$F$54&lt;G1,計算シート!$C$51=0),0,1)</f>
        <v>0</v>
      </c>
      <c r="H3" s="36">
        <f>IF(OR(海外居住者のための収入等申告書!$F$54&lt;H1,計算シート!$C$51=0),0,1)</f>
        <v>0</v>
      </c>
      <c r="I3" s="36">
        <f>IF(OR(海外居住者のための収入等申告書!$F$54&lt;I1,計算シート!$C$51=0),0,1)</f>
        <v>0</v>
      </c>
      <c r="J3" s="36">
        <f>IF(OR(海外居住者のための収入等申告書!$F$54&lt;J1,計算シート!$C$51=0),0,1)</f>
        <v>0</v>
      </c>
      <c r="N3" s="513">
        <v>950001</v>
      </c>
      <c r="O3" s="513">
        <v>410000</v>
      </c>
    </row>
    <row r="4" spans="1:15">
      <c r="A4" s="425" t="s">
        <v>166</v>
      </c>
      <c r="B4" s="513">
        <f>海外居住者のための収入等申告書!F83*VLOOKUP(海外居住者のための収入等申告書!F82,IF(計算シート!$C$50=1,前年レート!$N$12:$O$74,IF(計算シート!$C$50=2,当年レート!$N$12:$O$74,"")),2,0)</f>
        <v>0</v>
      </c>
      <c r="C4" s="513">
        <f>海外居住者のための収入等申告書!F89*VLOOKUP(海外居住者のための収入等申告書!F88,IF(計算シート!$C$50=1,前年レート!$N$12:$O$74,IF(計算シート!$C$50=2,当年レート!$N$12:$O$74,"")),2,0)</f>
        <v>0</v>
      </c>
      <c r="D4" s="513">
        <f>海外居住者のための収入等申告書!F95*VLOOKUP(海外居住者のための収入等申告書!F94,IF(計算シート!$C$50=1,前年レート!$N$12:$O$74,IF(計算シート!$C$50=2,当年レート!$N$12:$O$74,"")),2,0)</f>
        <v>0</v>
      </c>
      <c r="E4" s="513">
        <f>海外居住者のための収入等申告書!F101*VLOOKUP(海外居住者のための収入等申告書!F100,IF(計算シート!$C$50=1,前年レート!$N$12:$O$74,IF(計算シート!$C$50=2,当年レート!$N$12:$O$74,"")),2,0)</f>
        <v>0</v>
      </c>
      <c r="F4" s="513">
        <f>海外居住者のための収入等申告書!F107*VLOOKUP(海外居住者のための収入等申告書!F106,IF(計算シート!$C$50=1,前年レート!$N$12:$O$74,IF(計算シート!$C$50=2,当年レート!$N$12:$O$74,"")),2,0)</f>
        <v>0</v>
      </c>
      <c r="G4" s="513">
        <f>海外居住者のための収入等申告書!F113*VLOOKUP(海外居住者のための収入等申告書!F112,IF(計算シート!$C$50=1,前年レート!$N$12:$O$74,IF(計算シート!$C$50=2,当年レート!$N$12:$O$74,"")),2,0)</f>
        <v>0</v>
      </c>
      <c r="H4" s="513">
        <f>海外居住者のための収入等申告書!F119*VLOOKUP(海外居住者のための収入等申告書!F118,IF(計算シート!$C$50=1,前年レート!$N$12:$O$74,IF(計算シート!$C$50=2,当年レート!$N$12:$O$74,"")),2,0)</f>
        <v>0</v>
      </c>
      <c r="I4" s="513">
        <f>海外居住者のための収入等申告書!F125*VLOOKUP(海外居住者のための収入等申告書!F124,IF(計算シート!$C$50=1,前年レート!$N$12:$O$74,IF(計算シート!$C$50=2,当年レート!$N$12:$O$74,"")),2,0)</f>
        <v>0</v>
      </c>
      <c r="J4" s="513">
        <f>海外居住者のための収入等申告書!F131*VLOOKUP(海外居住者のための収入等申告書!F130,IF(計算シート!$C$50=1,前年レート!$N$12:$O$74,IF(計算シート!$C$50=2,当年レート!$N$12:$O$74,"")),2,0)</f>
        <v>0</v>
      </c>
      <c r="N4" s="513">
        <v>1000001</v>
      </c>
      <c r="O4" s="513">
        <v>310000</v>
      </c>
    </row>
    <row r="5" spans="1:15">
      <c r="A5" s="425" t="s">
        <v>16</v>
      </c>
      <c r="B5" s="513">
        <f>MAX(IF(AND(計算シート!$C$51=1,B4&lt;T11所得区分!$B$32),B4-T12給与所得!$B$62,IF(B4&lt;T11所得区分!$B$16,T12給与所得!$B$2,IF(B4&lt;T11所得区分!$B$17,B4-T12給与所得!$B$13,IF(B4&lt;T11所得区分!$B$18,T12給与所得!$B$4,IF(B4&lt;T11所得区分!$B$19,T12給与所得!$B$5,IF(B4&lt;T11所得区分!$B$20,T12給与所得!$B$6,IF(B4&lt;T11所得区分!$B$21,T12給与所得!$B$7,IF(B4&lt;T11所得区分!$B$22,ROUNDDOWN(B4/4000,0)*4000*T12給与所得!$B$19-T12給与所得!$B$14,IF(B4&lt;T11所得区分!$B$23,ROUNDDOWN(B4/4000,0)*4000*T12給与所得!$B$20-T12給与所得!$B$15,IF(B4&lt;T11所得区分!$B$24,ROUNDDOWN(B4/4000,0)*4000*T12給与所得!$B$21-T12給与所得!$B$16,IF(B4&lt;T11所得区分!$B$25,B4*T12給与所得!$B$22-T12給与所得!$B$17,B4-T12給与所得!$B$18))))))))))),0)</f>
        <v>0</v>
      </c>
      <c r="C5" s="513">
        <f>MAX(IF(AND(計算シート!$C$51=1,C4&lt;T11所得区分!$B$32),C4-T12給与所得!$B$62,IF(C4&lt;T11所得区分!$B$16,T12給与所得!$B$2,IF(C4&lt;T11所得区分!$B$17,C4-T12給与所得!$B$13,IF(C4&lt;T11所得区分!$B$18,T12給与所得!$B$4,IF(C4&lt;T11所得区分!$B$19,T12給与所得!$B$5,IF(C4&lt;T11所得区分!$B$20,T12給与所得!$B$6,IF(C4&lt;T11所得区分!$B$21,T12給与所得!$B$7,IF(C4&lt;T11所得区分!$B$22,ROUNDDOWN(C4/4000,0)*4000*T12給与所得!$B$19-T12給与所得!$B$14,IF(C4&lt;T11所得区分!$B$23,ROUNDDOWN(C4/4000,0)*4000*T12給与所得!$B$20-T12給与所得!$B$15,IF(C4&lt;T11所得区分!$B$24,ROUNDDOWN(C4/4000,0)*4000*T12給与所得!$B$21-T12給与所得!$B$16,IF(C4&lt;T11所得区分!$B$25,C4*T12給与所得!$B$22-T12給与所得!$B$17,C4-T12給与所得!$B$18))))))))))),0)</f>
        <v>0</v>
      </c>
      <c r="D5" s="513">
        <f>MAX(IF(AND(計算シート!$C$51=1,D4&lt;T11所得区分!$B$32),D4-T12給与所得!$B$62,IF(D4&lt;T11所得区分!$B$16,T12給与所得!$B$2,IF(D4&lt;T11所得区分!$B$17,D4-T12給与所得!$B$13,IF(D4&lt;T11所得区分!$B$18,T12給与所得!$B$4,IF(D4&lt;T11所得区分!$B$19,T12給与所得!$B$5,IF(D4&lt;T11所得区分!$B$20,T12給与所得!$B$6,IF(D4&lt;T11所得区分!$B$21,T12給与所得!$B$7,IF(D4&lt;T11所得区分!$B$22,ROUNDDOWN(D4/4000,0)*4000*T12給与所得!$B$19-T12給与所得!$B$14,IF(D4&lt;T11所得区分!$B$23,ROUNDDOWN(D4/4000,0)*4000*T12給与所得!$B$20-T12給与所得!$B$15,IF(D4&lt;T11所得区分!$B$24,ROUNDDOWN(D4/4000,0)*4000*T12給与所得!$B$21-T12給与所得!$B$16,IF(D4&lt;T11所得区分!$B$25,D4*T12給与所得!$B$22-T12給与所得!$B$17,D4-T12給与所得!$B$18))))))))))),0)</f>
        <v>0</v>
      </c>
      <c r="E5" s="513">
        <f>MAX(IF(AND(計算シート!$C$51=1,E4&lt;T11所得区分!$B$32),E4-T12給与所得!$B$62,IF(E4&lt;T11所得区分!$B$16,T12給与所得!$B$2,IF(E4&lt;T11所得区分!$B$17,E4-T12給与所得!$B$13,IF(E4&lt;T11所得区分!$B$18,T12給与所得!$B$4,IF(E4&lt;T11所得区分!$B$19,T12給与所得!$B$5,IF(E4&lt;T11所得区分!$B$20,T12給与所得!$B$6,IF(E4&lt;T11所得区分!$B$21,T12給与所得!$B$7,IF(E4&lt;T11所得区分!$B$22,ROUNDDOWN(E4/4000,0)*4000*T12給与所得!$B$19-T12給与所得!$B$14,IF(E4&lt;T11所得区分!$B$23,ROUNDDOWN(E4/4000,0)*4000*T12給与所得!$B$20-T12給与所得!$B$15,IF(E4&lt;T11所得区分!$B$24,ROUNDDOWN(E4/4000,0)*4000*T12給与所得!$B$21-T12給与所得!$B$16,IF(E4&lt;T11所得区分!$B$25,E4*T12給与所得!$B$22-T12給与所得!$B$17,E4-T12給与所得!$B$18))))))))))),0)</f>
        <v>0</v>
      </c>
      <c r="F5" s="513">
        <f>MAX(IF(AND(計算シート!$C$51=1,F4&lt;T11所得区分!$B$32),F4-T12給与所得!$B$62,IF(F4&lt;T11所得区分!$B$16,T12給与所得!$B$2,IF(F4&lt;T11所得区分!$B$17,F4-T12給与所得!$B$13,IF(F4&lt;T11所得区分!$B$18,T12給与所得!$B$4,IF(F4&lt;T11所得区分!$B$19,T12給与所得!$B$5,IF(F4&lt;T11所得区分!$B$20,T12給与所得!$B$6,IF(F4&lt;T11所得区分!$B$21,T12給与所得!$B$7,IF(F4&lt;T11所得区分!$B$22,ROUNDDOWN(F4/4000,0)*4000*T12給与所得!$B$19-T12給与所得!$B$14,IF(F4&lt;T11所得区分!$B$23,ROUNDDOWN(F4/4000,0)*4000*T12給与所得!$B$20-T12給与所得!$B$15,IF(F4&lt;T11所得区分!$B$24,ROUNDDOWN(F4/4000,0)*4000*T12給与所得!$B$21-T12給与所得!$B$16,IF(F4&lt;T11所得区分!$B$25,F4*T12給与所得!$B$22-T12給与所得!$B$17,F4-T12給与所得!$B$18))))))))))),0)</f>
        <v>0</v>
      </c>
      <c r="G5" s="513">
        <f>MAX(IF(AND(計算シート!$C$51=1,G4&lt;T11所得区分!$B$32),G4-T12給与所得!$B$62,IF(G4&lt;T11所得区分!$B$16,T12給与所得!$B$2,IF(G4&lt;T11所得区分!$B$17,G4-T12給与所得!$B$13,IF(G4&lt;T11所得区分!$B$18,T12給与所得!$B$4,IF(G4&lt;T11所得区分!$B$19,T12給与所得!$B$5,IF(G4&lt;T11所得区分!$B$20,T12給与所得!$B$6,IF(G4&lt;T11所得区分!$B$21,T12給与所得!$B$7,IF(G4&lt;T11所得区分!$B$22,ROUNDDOWN(G4/4000,0)*4000*T12給与所得!$B$19-T12給与所得!$B$14,IF(G4&lt;T11所得区分!$B$23,ROUNDDOWN(G4/4000,0)*4000*T12給与所得!$B$20-T12給与所得!$B$15,IF(G4&lt;T11所得区分!$B$24,ROUNDDOWN(G4/4000,0)*4000*T12給与所得!$B$21-T12給与所得!$B$16,IF(G4&lt;T11所得区分!$B$25,G4*T12給与所得!$B$22-T12給与所得!$B$17,G4-T12給与所得!$B$18))))))))))),0)</f>
        <v>0</v>
      </c>
      <c r="H5" s="513">
        <f>MAX(IF(AND(計算シート!$C$51=1,H4&lt;T11所得区分!$B$32),H4-T12給与所得!$B$62,IF(H4&lt;T11所得区分!$B$16,T12給与所得!$B$2,IF(H4&lt;T11所得区分!$B$17,H4-T12給与所得!$B$13,IF(H4&lt;T11所得区分!$B$18,T12給与所得!$B$4,IF(H4&lt;T11所得区分!$B$19,T12給与所得!$B$5,IF(H4&lt;T11所得区分!$B$20,T12給与所得!$B$6,IF(H4&lt;T11所得区分!$B$21,T12給与所得!$B$7,IF(H4&lt;T11所得区分!$B$22,ROUNDDOWN(H4/4000,0)*4000*T12給与所得!$B$19-T12給与所得!$B$14,IF(H4&lt;T11所得区分!$B$23,ROUNDDOWN(H4/4000,0)*4000*T12給与所得!$B$20-T12給与所得!$B$15,IF(H4&lt;T11所得区分!$B$24,ROUNDDOWN(H4/4000,0)*4000*T12給与所得!$B$21-T12給与所得!$B$16,IF(H4&lt;T11所得区分!$B$25,H4*T12給与所得!$B$22-T12給与所得!$B$17,H4-T12給与所得!$B$18))))))))))),0)</f>
        <v>0</v>
      </c>
      <c r="I5" s="513">
        <f>MAX(IF(AND(計算シート!$C$51=1,I4&lt;T11所得区分!$B$32),I4-T12給与所得!$B$62,IF(I4&lt;T11所得区分!$B$16,T12給与所得!$B$2,IF(I4&lt;T11所得区分!$B$17,I4-T12給与所得!$B$13,IF(I4&lt;T11所得区分!$B$18,T12給与所得!$B$4,IF(I4&lt;T11所得区分!$B$19,T12給与所得!$B$5,IF(I4&lt;T11所得区分!$B$20,T12給与所得!$B$6,IF(I4&lt;T11所得区分!$B$21,T12給与所得!$B$7,IF(I4&lt;T11所得区分!$B$22,ROUNDDOWN(I4/4000,0)*4000*T12給与所得!$B$19-T12給与所得!$B$14,IF(I4&lt;T11所得区分!$B$23,ROUNDDOWN(I4/4000,0)*4000*T12給与所得!$B$20-T12給与所得!$B$15,IF(I4&lt;T11所得区分!$B$24,ROUNDDOWN(I4/4000,0)*4000*T12給与所得!$B$21-T12給与所得!$B$16,IF(I4&lt;T11所得区分!$B$25,I4*T12給与所得!$B$22-T12給与所得!$B$17,I4-T12給与所得!$B$18))))))))))),0)</f>
        <v>0</v>
      </c>
      <c r="J5" s="513">
        <f>MAX(IF(AND(計算シート!$C$51=1,J4&lt;T11所得区分!$B$32),J4-T12給与所得!$B$62,IF(J4&lt;T11所得区分!$B$16,T12給与所得!$B$2,IF(J4&lt;T11所得区分!$B$17,J4-T12給与所得!$B$13,IF(J4&lt;T11所得区分!$B$18,T12給与所得!$B$4,IF(J4&lt;T11所得区分!$B$19,T12給与所得!$B$5,IF(J4&lt;T11所得区分!$B$20,T12給与所得!$B$6,IF(J4&lt;T11所得区分!$B$21,T12給与所得!$B$7,IF(J4&lt;T11所得区分!$B$22,ROUNDDOWN(J4/4000,0)*4000*T12給与所得!$B$19-T12給与所得!$B$14,IF(J4&lt;T11所得区分!$B$23,ROUNDDOWN(J4/4000,0)*4000*T12給与所得!$B$20-T12給与所得!$B$15,IF(J4&lt;T11所得区分!$B$24,ROUNDDOWN(J4/4000,0)*4000*T12給与所得!$B$21-T12給与所得!$B$16,IF(J4&lt;T11所得区分!$B$25,J4*T12給与所得!$B$22-T12給与所得!$B$17,J4-T12給与所得!$B$18))))))))))),0)</f>
        <v>0</v>
      </c>
      <c r="N5" s="513">
        <v>1050001</v>
      </c>
      <c r="O5" s="513">
        <v>210000</v>
      </c>
    </row>
    <row r="6" spans="1:15">
      <c r="A6" s="425" t="s">
        <v>216</v>
      </c>
      <c r="B6" s="513">
        <f>海外居住者のための収入等申告書!F85*VLOOKUP(海外居住者のための収入等申告書!F84,IF(計算シート!$C$50=1,前年レート!$N$12:$O$74,IF(計算シート!$C$50=2,当年レート!$N$12:$O$74,"")),2,0)</f>
        <v>0</v>
      </c>
      <c r="C6" s="513">
        <f>海外居住者のための収入等申告書!F91*VLOOKUP(海外居住者のための収入等申告書!F90,IF(計算シート!$C$50=1,前年レート!$N$12:$O$74,IF(計算シート!$C$50=2,当年レート!$N$12:$O$74,"")),2,0)</f>
        <v>0</v>
      </c>
      <c r="D6" s="513">
        <f>海外居住者のための収入等申告書!F97*VLOOKUP(海外居住者のための収入等申告書!F96,IF(計算シート!$C$50=1,前年レート!$N$12:$O$74,IF(計算シート!$C$50=2,当年レート!$N$12:$O$74,"")),2,0)</f>
        <v>0</v>
      </c>
      <c r="E6" s="513">
        <f>海外居住者のための収入等申告書!F103*VLOOKUP(海外居住者のための収入等申告書!F102,IF(計算シート!$C$50=1,前年レート!$N$12:$O$74,IF(計算シート!$C$50=2,当年レート!$N$12:$O$74,"")),2,0)</f>
        <v>0</v>
      </c>
      <c r="F6" s="513">
        <f>海外居住者のための収入等申告書!F109*VLOOKUP(海外居住者のための収入等申告書!F108,IF(計算シート!$C$50=1,前年レート!$N$12:$O$74,IF(計算シート!$C$50=2,当年レート!$N$12:$O$74,"")),2,0)</f>
        <v>0</v>
      </c>
      <c r="G6" s="513">
        <f>海外居住者のための収入等申告書!F115*VLOOKUP(海外居住者のための収入等申告書!F114,IF(計算シート!$C$50=1,前年レート!$N$12:$O$74,IF(計算シート!$C$50=2,当年レート!$N$12:$O$74,"")),2,0)</f>
        <v>0</v>
      </c>
      <c r="H6" s="513">
        <f>海外居住者のための収入等申告書!F121*VLOOKUP(海外居住者のための収入等申告書!F120,IF(計算シート!$C$50=1,前年レート!$N$12:$O$74,IF(計算シート!$C$50=2,当年レート!$N$12:$O$74,"")),2,0)</f>
        <v>0</v>
      </c>
      <c r="I6" s="513">
        <f>海外居住者のための収入等申告書!F127*VLOOKUP(海外居住者のための収入等申告書!F126,IF(計算シート!$C$50=1,前年レート!$N$12:$O$74,IF(計算シート!$C$50=2,当年レート!$N$12:$O$74,"")),2,0)</f>
        <v>0</v>
      </c>
      <c r="J6" s="513">
        <f>海外居住者のための収入等申告書!F133*VLOOKUP(海外居住者のための収入等申告書!F132,IF(計算シート!$C$50=1,前年レート!$N$12:$O$74,IF(計算シート!$C$50=2,当年レート!$N$12:$O$74,"")),2,0)</f>
        <v>0</v>
      </c>
      <c r="N6" s="513">
        <v>1100001</v>
      </c>
      <c r="O6" s="513">
        <v>110000</v>
      </c>
    </row>
    <row r="7" spans="1:15" ht="14.25" thickBot="1">
      <c r="A7" s="519" t="s">
        <v>17</v>
      </c>
      <c r="B7" s="520">
        <f>ROUNDDOWN(B5+B6,0)</f>
        <v>0</v>
      </c>
      <c r="C7" s="520">
        <f t="shared" ref="C7:J7" si="0">ROUNDDOWN(C5+C6,0)</f>
        <v>0</v>
      </c>
      <c r="D7" s="520">
        <f t="shared" si="0"/>
        <v>0</v>
      </c>
      <c r="E7" s="520">
        <f t="shared" si="0"/>
        <v>0</v>
      </c>
      <c r="F7" s="520">
        <f t="shared" si="0"/>
        <v>0</v>
      </c>
      <c r="G7" s="520">
        <f t="shared" si="0"/>
        <v>0</v>
      </c>
      <c r="H7" s="520">
        <f t="shared" si="0"/>
        <v>0</v>
      </c>
      <c r="I7" s="520">
        <f t="shared" si="0"/>
        <v>0</v>
      </c>
      <c r="J7" s="520">
        <f t="shared" si="0"/>
        <v>0</v>
      </c>
      <c r="N7" s="513">
        <v>1150001</v>
      </c>
      <c r="O7" s="513">
        <v>60000</v>
      </c>
    </row>
    <row r="8" spans="1:15" ht="14.25" thickTop="1">
      <c r="A8" s="518" t="s">
        <v>975</v>
      </c>
      <c r="B8" s="521">
        <f>IF(B7&lt;=T11所得区分!$B$31,1,0)*B3</f>
        <v>0</v>
      </c>
      <c r="C8" s="521">
        <f>IF(C7&lt;=T11所得区分!$B$31,1,0)*C3</f>
        <v>0</v>
      </c>
      <c r="D8" s="521">
        <f>IF(D7&lt;=T11所得区分!$B$31,1,0)*D3</f>
        <v>0</v>
      </c>
      <c r="E8" s="521">
        <f>IF(E7&lt;=T11所得区分!$B$31,1,0)*E3</f>
        <v>0</v>
      </c>
      <c r="F8" s="521">
        <f>IF(F7&lt;=T11所得区分!$B$31,1,0)*F3</f>
        <v>0</v>
      </c>
      <c r="G8" s="521">
        <f>IF(G7&lt;=T11所得区分!$B$31,1,0)*G3</f>
        <v>0</v>
      </c>
      <c r="H8" s="521">
        <f>IF(H7&lt;=T11所得区分!$B$31,1,0)*H3</f>
        <v>0</v>
      </c>
      <c r="I8" s="521">
        <f>IF(I7&lt;=T11所得区分!$B$31,1,0)*I3</f>
        <v>0</v>
      </c>
      <c r="J8" s="521">
        <f>IF(J7&lt;=T11所得区分!$B$31,1,0)*J3</f>
        <v>0</v>
      </c>
      <c r="K8" s="425" t="s">
        <v>1048</v>
      </c>
      <c r="L8" s="522">
        <f>SUM(B8:J8)</f>
        <v>0</v>
      </c>
      <c r="N8" s="513">
        <v>1200001</v>
      </c>
      <c r="O8" s="513">
        <v>30000</v>
      </c>
    </row>
    <row r="9" spans="1:15">
      <c r="A9" s="425" t="s">
        <v>972</v>
      </c>
      <c r="B9" s="513">
        <f>IF(B7&lt;=950000,1,0)*(B3-B8)</f>
        <v>0</v>
      </c>
      <c r="C9" s="513">
        <f t="shared" ref="C9:J9" si="1">IF(C7&lt;=950000,1,0)*(C3-C8)</f>
        <v>0</v>
      </c>
      <c r="D9" s="513">
        <f t="shared" si="1"/>
        <v>0</v>
      </c>
      <c r="E9" s="513">
        <f t="shared" si="1"/>
        <v>0</v>
      </c>
      <c r="F9" s="513">
        <f t="shared" si="1"/>
        <v>0</v>
      </c>
      <c r="G9" s="513">
        <f t="shared" si="1"/>
        <v>0</v>
      </c>
      <c r="H9" s="513">
        <f t="shared" si="1"/>
        <v>0</v>
      </c>
      <c r="I9" s="513">
        <f t="shared" si="1"/>
        <v>0</v>
      </c>
      <c r="J9" s="513">
        <f t="shared" si="1"/>
        <v>0</v>
      </c>
      <c r="K9" s="425" t="s">
        <v>1049</v>
      </c>
      <c r="L9" s="522">
        <f>SUM(B9:J9)</f>
        <v>0</v>
      </c>
      <c r="N9" s="513">
        <v>1230001</v>
      </c>
      <c r="O9" s="513">
        <v>0</v>
      </c>
    </row>
    <row r="10" spans="1:15">
      <c r="A10" s="425" t="s">
        <v>1069</v>
      </c>
      <c r="B10" s="513">
        <f>IFERROR(VLOOKUP(B7,$N$2:$O$9,2,TRUE),0)*(B3-B8)</f>
        <v>0</v>
      </c>
      <c r="C10" s="513">
        <f t="shared" ref="C10:J10" si="2">IFERROR(VLOOKUP(C7,$N$2:$O$9,2,TRUE),0)*(C3-C8)</f>
        <v>0</v>
      </c>
      <c r="D10" s="513">
        <f t="shared" si="2"/>
        <v>0</v>
      </c>
      <c r="E10" s="513">
        <f t="shared" si="2"/>
        <v>0</v>
      </c>
      <c r="F10" s="513">
        <f t="shared" si="2"/>
        <v>0</v>
      </c>
      <c r="G10" s="513">
        <f t="shared" si="2"/>
        <v>0</v>
      </c>
      <c r="H10" s="513">
        <f t="shared" si="2"/>
        <v>0</v>
      </c>
      <c r="I10" s="513">
        <f t="shared" si="2"/>
        <v>0</v>
      </c>
      <c r="J10" s="513">
        <f t="shared" si="2"/>
        <v>0</v>
      </c>
      <c r="K10" s="425" t="s">
        <v>977</v>
      </c>
      <c r="L10" s="522">
        <f>SUM(B10:J10)</f>
        <v>0</v>
      </c>
    </row>
    <row r="11" spans="1:15">
      <c r="B11" s="523"/>
      <c r="C11" s="523"/>
      <c r="D11" s="523"/>
      <c r="E11" s="523"/>
      <c r="F11" s="523"/>
      <c r="G11" s="523"/>
      <c r="H11" s="523"/>
      <c r="I11" s="523"/>
      <c r="J11" s="523"/>
    </row>
    <row r="12" spans="1:15" ht="14.25" thickBot="1"/>
    <row r="13" spans="1:15" ht="14.25" thickBot="1">
      <c r="A13" s="516" t="s">
        <v>971</v>
      </c>
      <c r="B13" s="314">
        <v>1</v>
      </c>
      <c r="C13" s="425">
        <v>2</v>
      </c>
      <c r="D13" s="425">
        <v>3</v>
      </c>
      <c r="E13" s="425">
        <v>4</v>
      </c>
      <c r="F13" s="425">
        <v>5</v>
      </c>
      <c r="G13" s="425">
        <v>6</v>
      </c>
      <c r="H13" s="425">
        <v>7</v>
      </c>
      <c r="I13" s="425">
        <v>8</v>
      </c>
      <c r="J13" s="425">
        <v>9</v>
      </c>
    </row>
    <row r="14" spans="1:15">
      <c r="A14" s="517"/>
      <c r="B14" s="425" t="s">
        <v>962</v>
      </c>
      <c r="C14" s="425" t="s">
        <v>963</v>
      </c>
      <c r="D14" s="425" t="s">
        <v>964</v>
      </c>
      <c r="E14" s="425" t="s">
        <v>965</v>
      </c>
      <c r="F14" s="425" t="s">
        <v>966</v>
      </c>
      <c r="G14" s="425" t="s">
        <v>967</v>
      </c>
      <c r="H14" s="425" t="s">
        <v>968</v>
      </c>
      <c r="I14" s="425" t="s">
        <v>969</v>
      </c>
      <c r="J14" s="425" t="s">
        <v>970</v>
      </c>
    </row>
    <row r="15" spans="1:15">
      <c r="A15" s="518"/>
      <c r="B15" s="36">
        <f>IF(OR(海外居住者のための収入等申告書!$L$54&lt;B13,計算シート!$C$51=0),0,1)</f>
        <v>0</v>
      </c>
      <c r="C15" s="36">
        <f>IF(OR(海外居住者のための収入等申告書!$L$54&lt;C13,計算シート!$C$51=0),0,1)</f>
        <v>0</v>
      </c>
      <c r="D15" s="36">
        <f>IF(OR(海外居住者のための収入等申告書!$L$54&lt;D13,計算シート!$C$51=0),0,1)</f>
        <v>0</v>
      </c>
      <c r="E15" s="36">
        <f>IF(OR(海外居住者のための収入等申告書!$L$54&lt;E13,計算シート!$C$51=0),0,1)</f>
        <v>0</v>
      </c>
      <c r="F15" s="36">
        <f>IF(OR(海外居住者のための収入等申告書!$L$54&lt;F13,計算シート!$C$51=0),0,1)</f>
        <v>0</v>
      </c>
      <c r="G15" s="36">
        <f>IF(OR(海外居住者のための収入等申告書!$L$54&lt;G13,計算シート!$C$51=0),0,1)</f>
        <v>0</v>
      </c>
      <c r="H15" s="36">
        <f>IF(OR(海外居住者のための収入等申告書!$L$54&lt;H13,計算シート!$C$51=0),0,1)</f>
        <v>0</v>
      </c>
      <c r="I15" s="36">
        <f>IF(OR(海外居住者のための収入等申告書!$L$54&lt;I13,計算シート!$C$51=0),0,1)</f>
        <v>0</v>
      </c>
      <c r="J15" s="36">
        <f>IF(OR(海外居住者のための収入等申告書!$L$54&lt;J13,計算シート!$C$51=0),0,1)</f>
        <v>0</v>
      </c>
    </row>
    <row r="16" spans="1:15">
      <c r="A16" s="425" t="s">
        <v>166</v>
      </c>
      <c r="B16" s="513">
        <f>海外居住者のための収入等申告書!L83*VLOOKUP(海外居住者のための収入等申告書!L82,IF(計算シート!$C$50=1,前年レート!$N$12:$O$74,IF(計算シート!$C$50=2,当年レート!$N$12:$O$74,"")),2,0)</f>
        <v>0</v>
      </c>
      <c r="C16" s="513">
        <f>海外居住者のための収入等申告書!L89*VLOOKUP(海外居住者のための収入等申告書!L88,IF(計算シート!$C$50=1,前年レート!$N$12:$O$74,IF(計算シート!$C$50=2,当年レート!$N$12:$O$74,"")),2,0)</f>
        <v>0</v>
      </c>
      <c r="D16" s="513">
        <f>海外居住者のための収入等申告書!L95*VLOOKUP(海外居住者のための収入等申告書!L94,IF(計算シート!$C$50=1,前年レート!$N$12:$O$74,IF(計算シート!$C$50=2,当年レート!$N$12:$O$74,"")),2,0)</f>
        <v>0</v>
      </c>
      <c r="E16" s="513">
        <f>海外居住者のための収入等申告書!L101*VLOOKUP(海外居住者のための収入等申告書!L100,IF(計算シート!$C$50=1,前年レート!$N$12:$O$74,IF(計算シート!$C$50=2,当年レート!$N$12:$O$74,"")),2,0)</f>
        <v>0</v>
      </c>
      <c r="F16" s="513">
        <f>海外居住者のための収入等申告書!L107*VLOOKUP(海外居住者のための収入等申告書!L106,IF(計算シート!$C$50=1,前年レート!$N$12:$O$74,IF(計算シート!$C$50=2,当年レート!$N$12:$O$74,"")),2,0)</f>
        <v>0</v>
      </c>
      <c r="G16" s="513">
        <f>海外居住者のための収入等申告書!L113*VLOOKUP(海外居住者のための収入等申告書!L112,IF(計算シート!$C$50=1,前年レート!$N$12:$O$74,IF(計算シート!$C$50=2,当年レート!$N$12:$O$74,"")),2,0)</f>
        <v>0</v>
      </c>
      <c r="H16" s="513">
        <f>海外居住者のための収入等申告書!L119*VLOOKUP(海外居住者のための収入等申告書!L118,IF(計算シート!$C$50=1,前年レート!$N$12:$O$74,IF(計算シート!$C$50=2,当年レート!$N$12:$O$74,"")),2,0)</f>
        <v>0</v>
      </c>
      <c r="I16" s="513">
        <f>海外居住者のための収入等申告書!L125*VLOOKUP(海外居住者のための収入等申告書!L124,IF(計算シート!$C$50=1,前年レート!$N$12:$O$74,IF(計算シート!$C$50=2,当年レート!$N$12:$O$74,"")),2,0)</f>
        <v>0</v>
      </c>
      <c r="J16" s="513">
        <f>海外居住者のための収入等申告書!L131*VLOOKUP(海外居住者のための収入等申告書!L130,IF(計算シート!$C$50=1,前年レート!$N$12:$O$74,IF(計算シート!$C$50=2,当年レート!$N$12:$O$74,"")),2,0)</f>
        <v>0</v>
      </c>
    </row>
    <row r="17" spans="1:12">
      <c r="A17" s="425" t="s">
        <v>16</v>
      </c>
      <c r="B17" s="513">
        <f>MAX(IF(AND(計算シート!$C$51=1,B16&lt;T11所得区分!$B$32),B16-T12給与所得!$B$62,IF(B16&lt;T11所得区分!$B$16,T12給与所得!$B$2,IF(B16&lt;T11所得区分!$B$17,B16-T12給与所得!$B$13,IF(B16&lt;T11所得区分!$B$18,T12給与所得!$B$4,IF(B16&lt;T11所得区分!$B$19,T12給与所得!$B$5,IF(B16&lt;T11所得区分!$B$20,T12給与所得!$B$6,IF(B16&lt;T11所得区分!$B$21,T12給与所得!$B$7,IF(B16&lt;T11所得区分!$B$22,ROUNDDOWN(B16/4000,0)*4000*T12給与所得!$B$19-T12給与所得!$B$14,IF(B16&lt;T11所得区分!$B$23,ROUNDDOWN(B16/4000,0)*4000*T12給与所得!$B$20-T12給与所得!$B$15,IF(B16&lt;T11所得区分!$B$24,ROUNDDOWN(B16/4000,0)*4000*T12給与所得!$B$21-T12給与所得!$B$16,IF(B16&lt;T11所得区分!$B$25,B16*T12給与所得!$B$22-T12給与所得!$B$17,B16-T12給与所得!$B$18))))))))))),0)</f>
        <v>0</v>
      </c>
      <c r="C17" s="513">
        <f>MAX(IF(AND(計算シート!$C$51=1,C16&lt;T11所得区分!$B$32),C16-T12給与所得!$B$62,IF(C16&lt;T11所得区分!$B$16,T12給与所得!$B$2,IF(C16&lt;T11所得区分!$B$17,C16-T12給与所得!$B$13,IF(C16&lt;T11所得区分!$B$18,T12給与所得!$B$4,IF(C16&lt;T11所得区分!$B$19,T12給与所得!$B$5,IF(C16&lt;T11所得区分!$B$20,T12給与所得!$B$6,IF(C16&lt;T11所得区分!$B$21,T12給与所得!$B$7,IF(C16&lt;T11所得区分!$B$22,ROUNDDOWN(C16/4000,0)*4000*T12給与所得!$B$19-T12給与所得!$B$14,IF(C16&lt;T11所得区分!$B$23,ROUNDDOWN(C16/4000,0)*4000*T12給与所得!$B$20-T12給与所得!$B$15,IF(C16&lt;T11所得区分!$B$24,ROUNDDOWN(C16/4000,0)*4000*T12給与所得!$B$21-T12給与所得!$B$16,IF(C16&lt;T11所得区分!$B$25,C16*T12給与所得!$B$22-T12給与所得!$B$17,C16-T12給与所得!$B$18))))))))))),0)</f>
        <v>0</v>
      </c>
      <c r="D17" s="513">
        <f>MAX(IF(AND(計算シート!$C$51=1,D16&lt;T11所得区分!$B$32),D16-T12給与所得!$B$62,IF(D16&lt;T11所得区分!$B$16,T12給与所得!$B$2,IF(D16&lt;T11所得区分!$B$17,D16-T12給与所得!$B$13,IF(D16&lt;T11所得区分!$B$18,T12給与所得!$B$4,IF(D16&lt;T11所得区分!$B$19,T12給与所得!$B$5,IF(D16&lt;T11所得区分!$B$20,T12給与所得!$B$6,IF(D16&lt;T11所得区分!$B$21,T12給与所得!$B$7,IF(D16&lt;T11所得区分!$B$22,ROUNDDOWN(D16/4000,0)*4000*T12給与所得!$B$19-T12給与所得!$B$14,IF(D16&lt;T11所得区分!$B$23,ROUNDDOWN(D16/4000,0)*4000*T12給与所得!$B$20-T12給与所得!$B$15,IF(D16&lt;T11所得区分!$B$24,ROUNDDOWN(D16/4000,0)*4000*T12給与所得!$B$21-T12給与所得!$B$16,IF(D16&lt;T11所得区分!$B$25,D16*T12給与所得!$B$22-T12給与所得!$B$17,D16-T12給与所得!$B$18))))))))))),0)</f>
        <v>0</v>
      </c>
      <c r="E17" s="513">
        <f>MAX(IF(AND(計算シート!$C$51=1,E16&lt;T11所得区分!$B$32),E16-T12給与所得!$B$62,IF(E16&lt;T11所得区分!$B$16,T12給与所得!$B$2,IF(E16&lt;T11所得区分!$B$17,E16-T12給与所得!$B$13,IF(E16&lt;T11所得区分!$B$18,T12給与所得!$B$4,IF(E16&lt;T11所得区分!$B$19,T12給与所得!$B$5,IF(E16&lt;T11所得区分!$B$20,T12給与所得!$B$6,IF(E16&lt;T11所得区分!$B$21,T12給与所得!$B$7,IF(E16&lt;T11所得区分!$B$22,ROUNDDOWN(E16/4000,0)*4000*T12給与所得!$B$19-T12給与所得!$B$14,IF(E16&lt;T11所得区分!$B$23,ROUNDDOWN(E16/4000,0)*4000*T12給与所得!$B$20-T12給与所得!$B$15,IF(E16&lt;T11所得区分!$B$24,ROUNDDOWN(E16/4000,0)*4000*T12給与所得!$B$21-T12給与所得!$B$16,IF(E16&lt;T11所得区分!$B$25,E16*T12給与所得!$B$22-T12給与所得!$B$17,E16-T12給与所得!$B$18))))))))))),0)</f>
        <v>0</v>
      </c>
      <c r="F17" s="513">
        <f>MAX(IF(AND(計算シート!$C$51=1,F16&lt;T11所得区分!$B$32),F16-T12給与所得!$B$62,IF(F16&lt;T11所得区分!$B$16,T12給与所得!$B$2,IF(F16&lt;T11所得区分!$B$17,F16-T12給与所得!$B$13,IF(F16&lt;T11所得区分!$B$18,T12給与所得!$B$4,IF(F16&lt;T11所得区分!$B$19,T12給与所得!$B$5,IF(F16&lt;T11所得区分!$B$20,T12給与所得!$B$6,IF(F16&lt;T11所得区分!$B$21,T12給与所得!$B$7,IF(F16&lt;T11所得区分!$B$22,ROUNDDOWN(F16/4000,0)*4000*T12給与所得!$B$19-T12給与所得!$B$14,IF(F16&lt;T11所得区分!$B$23,ROUNDDOWN(F16/4000,0)*4000*T12給与所得!$B$20-T12給与所得!$B$15,IF(F16&lt;T11所得区分!$B$24,ROUNDDOWN(F16/4000,0)*4000*T12給与所得!$B$21-T12給与所得!$B$16,IF(F16&lt;T11所得区分!$B$25,F16*T12給与所得!$B$22-T12給与所得!$B$17,F16-T12給与所得!$B$18))))))))))),0)</f>
        <v>0</v>
      </c>
      <c r="G17" s="513">
        <f>MAX(IF(AND(計算シート!$C$51=1,G16&lt;T11所得区分!$B$32),G16-T12給与所得!$B$62,IF(G16&lt;T11所得区分!$B$16,T12給与所得!$B$2,IF(G16&lt;T11所得区分!$B$17,G16-T12給与所得!$B$13,IF(G16&lt;T11所得区分!$B$18,T12給与所得!$B$4,IF(G16&lt;T11所得区分!$B$19,T12給与所得!$B$5,IF(G16&lt;T11所得区分!$B$20,T12給与所得!$B$6,IF(G16&lt;T11所得区分!$B$21,T12給与所得!$B$7,IF(G16&lt;T11所得区分!$B$22,ROUNDDOWN(G16/4000,0)*4000*T12給与所得!$B$19-T12給与所得!$B$14,IF(G16&lt;T11所得区分!$B$23,ROUNDDOWN(G16/4000,0)*4000*T12給与所得!$B$20-T12給与所得!$B$15,IF(G16&lt;T11所得区分!$B$24,ROUNDDOWN(G16/4000,0)*4000*T12給与所得!$B$21-T12給与所得!$B$16,IF(G16&lt;T11所得区分!$B$25,G16*T12給与所得!$B$22-T12給与所得!$B$17,G16-T12給与所得!$B$18))))))))))),0)</f>
        <v>0</v>
      </c>
      <c r="H17" s="513">
        <f>MAX(IF(AND(計算シート!$C$51=1,H16&lt;T11所得区分!$B$32),H16-T12給与所得!$B$62,IF(H16&lt;T11所得区分!$B$16,T12給与所得!$B$2,IF(H16&lt;T11所得区分!$B$17,H16-T12給与所得!$B$13,IF(H16&lt;T11所得区分!$B$18,T12給与所得!$B$4,IF(H16&lt;T11所得区分!$B$19,T12給与所得!$B$5,IF(H16&lt;T11所得区分!$B$20,T12給与所得!$B$6,IF(H16&lt;T11所得区分!$B$21,T12給与所得!$B$7,IF(H16&lt;T11所得区分!$B$22,ROUNDDOWN(H16/4000,0)*4000*T12給与所得!$B$19-T12給与所得!$B$14,IF(H16&lt;T11所得区分!$B$23,ROUNDDOWN(H16/4000,0)*4000*T12給与所得!$B$20-T12給与所得!$B$15,IF(H16&lt;T11所得区分!$B$24,ROUNDDOWN(H16/4000,0)*4000*T12給与所得!$B$21-T12給与所得!$B$16,IF(H16&lt;T11所得区分!$B$25,H16*T12給与所得!$B$22-T12給与所得!$B$17,H16-T12給与所得!$B$18))))))))))),0)</f>
        <v>0</v>
      </c>
      <c r="I17" s="513">
        <f>MAX(IF(AND(計算シート!$C$51=1,I16&lt;T11所得区分!$B$32),I16-T12給与所得!$B$62,IF(I16&lt;T11所得区分!$B$16,T12給与所得!$B$2,IF(I16&lt;T11所得区分!$B$17,I16-T12給与所得!$B$13,IF(I16&lt;T11所得区分!$B$18,T12給与所得!$B$4,IF(I16&lt;T11所得区分!$B$19,T12給与所得!$B$5,IF(I16&lt;T11所得区分!$B$20,T12給与所得!$B$6,IF(I16&lt;T11所得区分!$B$21,T12給与所得!$B$7,IF(I16&lt;T11所得区分!$B$22,ROUNDDOWN(I16/4000,0)*4000*T12給与所得!$B$19-T12給与所得!$B$14,IF(I16&lt;T11所得区分!$B$23,ROUNDDOWN(I16/4000,0)*4000*T12給与所得!$B$20-T12給与所得!$B$15,IF(I16&lt;T11所得区分!$B$24,ROUNDDOWN(I16/4000,0)*4000*T12給与所得!$B$21-T12給与所得!$B$16,IF(I16&lt;T11所得区分!$B$25,I16*T12給与所得!$B$22-T12給与所得!$B$17,I16-T12給与所得!$B$18))))))))))),0)</f>
        <v>0</v>
      </c>
      <c r="J17" s="513">
        <f>MAX(IF(AND(計算シート!$C$51=1,J16&lt;T11所得区分!$B$32),J16-T12給与所得!$B$62,IF(J16&lt;T11所得区分!$B$16,T12給与所得!$B$2,IF(J16&lt;T11所得区分!$B$17,J16-T12給与所得!$B$13,IF(J16&lt;T11所得区分!$B$18,T12給与所得!$B$4,IF(J16&lt;T11所得区分!$B$19,T12給与所得!$B$5,IF(J16&lt;T11所得区分!$B$20,T12給与所得!$B$6,IF(J16&lt;T11所得区分!$B$21,T12給与所得!$B$7,IF(J16&lt;T11所得区分!$B$22,ROUNDDOWN(J16/4000,0)*4000*T12給与所得!$B$19-T12給与所得!$B$14,IF(J16&lt;T11所得区分!$B$23,ROUNDDOWN(J16/4000,0)*4000*T12給与所得!$B$20-T12給与所得!$B$15,IF(J16&lt;T11所得区分!$B$24,ROUNDDOWN(J16/4000,0)*4000*T12給与所得!$B$21-T12給与所得!$B$16,IF(J16&lt;T11所得区分!$B$25,J16*T12給与所得!$B$22-T12給与所得!$B$17,J16-T12給与所得!$B$18))))))))))),0)</f>
        <v>0</v>
      </c>
    </row>
    <row r="18" spans="1:12">
      <c r="A18" s="425" t="s">
        <v>216</v>
      </c>
      <c r="B18" s="513">
        <f>海外居住者のための収入等申告書!L85*VLOOKUP(海外居住者のための収入等申告書!L84,IF(計算シート!$C$50=1,前年レート!$N$12:$O$74,IF(計算シート!$C$50=2,当年レート!$N$12:$O$74,"")),2,0)</f>
        <v>0</v>
      </c>
      <c r="C18" s="513">
        <f>海外居住者のための収入等申告書!L91*VLOOKUP(海外居住者のための収入等申告書!L90,IF(計算シート!$C$50=1,前年レート!$N$12:$O$74,IF(計算シート!$C$50=2,当年レート!$N$12:$O$74,"")),2,0)</f>
        <v>0</v>
      </c>
      <c r="D18" s="513">
        <f>海外居住者のための収入等申告書!L97*VLOOKUP(海外居住者のための収入等申告書!L96,IF(計算シート!$C$50=1,前年レート!$N$12:$O$74,IF(計算シート!$C$50=2,当年レート!$N$12:$O$74,"")),2,0)</f>
        <v>0</v>
      </c>
      <c r="E18" s="513">
        <f>海外居住者のための収入等申告書!L103*VLOOKUP(海外居住者のための収入等申告書!L102,IF(計算シート!$C$50=1,前年レート!$N$12:$O$74,IF(計算シート!$C$50=2,当年レート!$N$12:$O$74,"")),2,0)</f>
        <v>0</v>
      </c>
      <c r="F18" s="513">
        <f>海外居住者のための収入等申告書!L109*VLOOKUP(海外居住者のための収入等申告書!L108,IF(計算シート!$C$50=1,前年レート!$N$12:$O$74,IF(計算シート!$C$50=2,当年レート!$N$12:$O$74,"")),2,0)</f>
        <v>0</v>
      </c>
      <c r="G18" s="513">
        <f>海外居住者のための収入等申告書!L115*VLOOKUP(海外居住者のための収入等申告書!L114,IF(計算シート!$C$50=1,前年レート!$N$12:$O$74,IF(計算シート!$C$50=2,当年レート!$N$12:$O$74,"")),2,0)</f>
        <v>0</v>
      </c>
      <c r="H18" s="513">
        <f>海外居住者のための収入等申告書!L121*VLOOKUP(海外居住者のための収入等申告書!L120,IF(計算シート!$C$50=1,前年レート!$N$12:$O$74,IF(計算シート!$C$50=2,当年レート!$N$12:$O$74,"")),2,0)</f>
        <v>0</v>
      </c>
      <c r="I18" s="513">
        <f>海外居住者のための収入等申告書!L127*VLOOKUP(海外居住者のための収入等申告書!L126,IF(計算シート!$C$50=1,前年レート!$N$12:$O$74,IF(計算シート!$C$50=2,当年レート!$N$12:$O$74,"")),2,0)</f>
        <v>0</v>
      </c>
      <c r="J18" s="513">
        <f>海外居住者のための収入等申告書!L133*VLOOKUP(海外居住者のための収入等申告書!L132,IF(計算シート!$C$50=1,前年レート!$N$12:$O$74,IF(計算シート!$C$50=2,当年レート!$N$12:$O$74,"")),2,0)</f>
        <v>0</v>
      </c>
    </row>
    <row r="19" spans="1:12" ht="14.25" thickBot="1">
      <c r="A19" s="519" t="s">
        <v>17</v>
      </c>
      <c r="B19" s="520">
        <f>ROUNDDOWN(B17+B18,0)</f>
        <v>0</v>
      </c>
      <c r="C19" s="520">
        <f t="shared" ref="C19:J19" si="3">ROUNDDOWN(C17+C18,0)</f>
        <v>0</v>
      </c>
      <c r="D19" s="520">
        <f t="shared" si="3"/>
        <v>0</v>
      </c>
      <c r="E19" s="520">
        <f t="shared" si="3"/>
        <v>0</v>
      </c>
      <c r="F19" s="520">
        <f t="shared" si="3"/>
        <v>0</v>
      </c>
      <c r="G19" s="520">
        <f t="shared" si="3"/>
        <v>0</v>
      </c>
      <c r="H19" s="520">
        <f t="shared" si="3"/>
        <v>0</v>
      </c>
      <c r="I19" s="520">
        <f t="shared" si="3"/>
        <v>0</v>
      </c>
      <c r="J19" s="520">
        <f t="shared" si="3"/>
        <v>0</v>
      </c>
    </row>
    <row r="20" spans="1:12" ht="14.25" thickTop="1">
      <c r="A20" s="518" t="s">
        <v>975</v>
      </c>
      <c r="B20" s="521">
        <f>IF(B19&lt;=T11所得区分!$B$31,1,0)*B15</f>
        <v>0</v>
      </c>
      <c r="C20" s="521">
        <f>IF(C19&lt;=T11所得区分!$B$31,1,0)*C15</f>
        <v>0</v>
      </c>
      <c r="D20" s="521">
        <f>IF(D19&lt;=T11所得区分!$B$31,1,0)*D15</f>
        <v>0</v>
      </c>
      <c r="E20" s="521">
        <f>IF(E19&lt;=T11所得区分!$B$31,1,0)*E15</f>
        <v>0</v>
      </c>
      <c r="F20" s="521">
        <f>IF(F19&lt;=T11所得区分!$B$31,1,0)*F15</f>
        <v>0</v>
      </c>
      <c r="G20" s="521">
        <f>IF(G19&lt;=T11所得区分!$B$31,1,0)*G15</f>
        <v>0</v>
      </c>
      <c r="H20" s="521">
        <f>IF(H19&lt;=T11所得区分!$B$31,1,0)*H15</f>
        <v>0</v>
      </c>
      <c r="I20" s="521">
        <f>IF(I19&lt;=T11所得区分!$B$31,1,0)*I15</f>
        <v>0</v>
      </c>
      <c r="J20" s="521">
        <f>IF(J19&lt;=T11所得区分!$B$31,1,0)*J15</f>
        <v>0</v>
      </c>
      <c r="K20" s="425" t="s">
        <v>1048</v>
      </c>
      <c r="L20" s="522">
        <f>SUM(B20:J20)</f>
        <v>0</v>
      </c>
    </row>
    <row r="21" spans="1:12">
      <c r="A21" s="425" t="s">
        <v>972</v>
      </c>
      <c r="B21" s="513">
        <f>IF(B19&lt;=950000,1,0)*(B15-B20)</f>
        <v>0</v>
      </c>
      <c r="C21" s="513">
        <f t="shared" ref="C21" si="4">IF(C19&lt;=950000,1,0)*(C15-C20)</f>
        <v>0</v>
      </c>
      <c r="D21" s="513">
        <f t="shared" ref="D21" si="5">IF(D19&lt;=950000,1,0)*(D15-D20)</f>
        <v>0</v>
      </c>
      <c r="E21" s="513">
        <f t="shared" ref="E21" si="6">IF(E19&lt;=950000,1,0)*(E15-E20)</f>
        <v>0</v>
      </c>
      <c r="F21" s="513">
        <f t="shared" ref="F21" si="7">IF(F19&lt;=950000,1,0)*(F15-F20)</f>
        <v>0</v>
      </c>
      <c r="G21" s="513">
        <f t="shared" ref="G21" si="8">IF(G19&lt;=950000,1,0)*(G15-G20)</f>
        <v>0</v>
      </c>
      <c r="H21" s="513">
        <f t="shared" ref="H21" si="9">IF(H19&lt;=950000,1,0)*(H15-H20)</f>
        <v>0</v>
      </c>
      <c r="I21" s="513">
        <f t="shared" ref="I21" si="10">IF(I19&lt;=950000,1,0)*(I15-I20)</f>
        <v>0</v>
      </c>
      <c r="J21" s="513">
        <f t="shared" ref="J21" si="11">IF(J19&lt;=950000,1,0)*(J15-J20)</f>
        <v>0</v>
      </c>
      <c r="K21" s="425" t="s">
        <v>1049</v>
      </c>
      <c r="L21" s="522">
        <f>SUM(B21:J21)</f>
        <v>0</v>
      </c>
    </row>
    <row r="22" spans="1:12">
      <c r="A22" s="425" t="s">
        <v>1069</v>
      </c>
      <c r="B22" s="513">
        <f>IFERROR(VLOOKUP(B19,$N$2:$O$9,2,TRUE),0)*(B15-B20)</f>
        <v>0</v>
      </c>
      <c r="C22" s="513">
        <f t="shared" ref="C22:J22" si="12">IFERROR(VLOOKUP(C19,$N$2:$O$9,2,TRUE),0)*(C15-C20)</f>
        <v>0</v>
      </c>
      <c r="D22" s="513">
        <f t="shared" si="12"/>
        <v>0</v>
      </c>
      <c r="E22" s="513">
        <f t="shared" si="12"/>
        <v>0</v>
      </c>
      <c r="F22" s="513">
        <f t="shared" si="12"/>
        <v>0</v>
      </c>
      <c r="G22" s="513">
        <f t="shared" si="12"/>
        <v>0</v>
      </c>
      <c r="H22" s="513">
        <f t="shared" si="12"/>
        <v>0</v>
      </c>
      <c r="I22" s="513">
        <f t="shared" si="12"/>
        <v>0</v>
      </c>
      <c r="J22" s="513">
        <f t="shared" si="12"/>
        <v>0</v>
      </c>
      <c r="K22" s="425" t="s">
        <v>977</v>
      </c>
      <c r="L22" s="522">
        <f>SUM(B22:J22)</f>
        <v>0</v>
      </c>
    </row>
    <row r="24" spans="1:12" ht="14.25" thickBot="1"/>
    <row r="25" spans="1:12" ht="14.25" thickBot="1">
      <c r="A25" s="516" t="s">
        <v>1050</v>
      </c>
      <c r="B25" s="314"/>
    </row>
    <row r="26" spans="1:12">
      <c r="A26" s="524" t="s">
        <v>353</v>
      </c>
      <c r="B26" s="513">
        <f>計算シート!$B$2</f>
        <v>125</v>
      </c>
    </row>
    <row r="27" spans="1:12">
      <c r="A27" s="425" t="s">
        <v>17</v>
      </c>
      <c r="B27" s="513">
        <f>ROUNDDOWN(計算シート!$B$8,0)</f>
        <v>0</v>
      </c>
    </row>
    <row r="28" spans="1:12" ht="14.25" thickBot="1">
      <c r="A28" s="525" t="s">
        <v>1055</v>
      </c>
      <c r="B28" s="526" t="str">
        <f>IF(海外居住者のための収入等申告書!F24="扶養されていない",IF(AND(計算シート!D1="生計維持者２",計算シート!C35&lt;計算シート!D35),"生計維持者２","生計維持者１"),海外居住者のための収入等申告書!F24)</f>
        <v>生計維持者１</v>
      </c>
    </row>
    <row r="29" spans="1:12" ht="14.25" thickTop="1">
      <c r="A29" s="518" t="s">
        <v>1051</v>
      </c>
      <c r="B29" s="521">
        <f>IF(AND(B26&gt;=19,B26&lt;=22,B27&gt;580000,B27&lt;=1230000),1,0)</f>
        <v>0</v>
      </c>
    </row>
    <row r="30" spans="1:12">
      <c r="A30" s="425" t="s">
        <v>972</v>
      </c>
      <c r="B30" s="513">
        <f>IF(AND(OR(B29=1,B32=1),B27&lt;=950000),1,0)</f>
        <v>0</v>
      </c>
    </row>
    <row r="31" spans="1:12">
      <c r="A31" s="425" t="s">
        <v>1069</v>
      </c>
      <c r="B31" s="513">
        <f>IFERROR(VLOOKUP(B27,$N$2:$O$9,2,TRUE),0)*B29</f>
        <v>0</v>
      </c>
    </row>
    <row r="32" spans="1:12">
      <c r="A32" s="425" t="s">
        <v>1053</v>
      </c>
      <c r="B32" s="513">
        <f>IF(AND(計算シート!C59=1,B27&gt;580000,B27&lt;=1230000),1,0)</f>
        <v>0</v>
      </c>
    </row>
    <row r="33" spans="1:2">
      <c r="A33" s="425" t="s">
        <v>1054</v>
      </c>
      <c r="B33" s="513">
        <f>IFERROR(VLOOKUP(B27,$N$2:$O$9,2,TRUE),0)*B32</f>
        <v>0</v>
      </c>
    </row>
  </sheetData>
  <phoneticPr fontId="2"/>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W2"/>
  <sheetViews>
    <sheetView topLeftCell="DR1" workbookViewId="0">
      <selection activeCell="H42" sqref="H42"/>
    </sheetView>
  </sheetViews>
  <sheetFormatPr defaultRowHeight="13.5"/>
  <cols>
    <col min="1" max="1" width="24.5" bestFit="1" customWidth="1"/>
  </cols>
  <sheetData>
    <row r="1" spans="1:153">
      <c r="A1" s="317" t="s">
        <v>661</v>
      </c>
      <c r="B1" s="308" t="s">
        <v>517</v>
      </c>
      <c r="C1" s="308" t="s">
        <v>518</v>
      </c>
      <c r="D1" s="308" t="s">
        <v>519</v>
      </c>
      <c r="E1" s="308" t="s">
        <v>520</v>
      </c>
      <c r="F1" s="308" t="s">
        <v>521</v>
      </c>
      <c r="G1" s="308" t="s">
        <v>522</v>
      </c>
      <c r="H1" s="308" t="s">
        <v>523</v>
      </c>
      <c r="I1" s="308" t="s">
        <v>524</v>
      </c>
      <c r="J1" s="308" t="s">
        <v>525</v>
      </c>
      <c r="K1" s="308" t="s">
        <v>526</v>
      </c>
      <c r="L1" s="308" t="s">
        <v>527</v>
      </c>
      <c r="M1" s="308" t="s">
        <v>528</v>
      </c>
      <c r="N1" s="308" t="s">
        <v>529</v>
      </c>
      <c r="O1" s="308" t="s">
        <v>530</v>
      </c>
      <c r="P1" s="308" t="s">
        <v>531</v>
      </c>
      <c r="Q1" s="308" t="s">
        <v>532</v>
      </c>
      <c r="R1" s="308" t="s">
        <v>533</v>
      </c>
      <c r="S1" s="309" t="s">
        <v>534</v>
      </c>
      <c r="T1" s="308" t="s">
        <v>535</v>
      </c>
      <c r="U1" s="308" t="s">
        <v>918</v>
      </c>
      <c r="V1" s="308" t="s">
        <v>536</v>
      </c>
      <c r="W1" s="308" t="s">
        <v>537</v>
      </c>
      <c r="X1" s="308" t="s">
        <v>538</v>
      </c>
      <c r="Y1" s="308" t="s">
        <v>539</v>
      </c>
      <c r="Z1" s="308" t="s">
        <v>540</v>
      </c>
      <c r="AA1" s="308" t="s">
        <v>541</v>
      </c>
      <c r="AB1" s="308" t="s">
        <v>542</v>
      </c>
      <c r="AC1" s="308" t="s">
        <v>543</v>
      </c>
      <c r="AD1" s="308" t="s">
        <v>544</v>
      </c>
      <c r="AE1" s="308" t="s">
        <v>545</v>
      </c>
      <c r="AF1" s="308" t="s">
        <v>546</v>
      </c>
      <c r="AG1" s="308" t="s">
        <v>547</v>
      </c>
      <c r="AH1" s="308" t="s">
        <v>548</v>
      </c>
      <c r="AI1" s="308" t="s">
        <v>549</v>
      </c>
      <c r="AJ1" s="308" t="s">
        <v>550</v>
      </c>
      <c r="AK1" s="308" t="s">
        <v>551</v>
      </c>
      <c r="AL1" s="308" t="s">
        <v>552</v>
      </c>
      <c r="AM1" s="308" t="s">
        <v>553</v>
      </c>
      <c r="AN1" s="308" t="s">
        <v>554</v>
      </c>
      <c r="AO1" s="308" t="s">
        <v>555</v>
      </c>
      <c r="AP1" s="308" t="s">
        <v>556</v>
      </c>
      <c r="AQ1" s="308" t="s">
        <v>557</v>
      </c>
      <c r="AR1" s="308" t="s">
        <v>558</v>
      </c>
      <c r="AS1" s="308" t="s">
        <v>559</v>
      </c>
      <c r="AT1" s="308" t="s">
        <v>560</v>
      </c>
      <c r="AU1" s="308" t="s">
        <v>561</v>
      </c>
      <c r="AV1" s="308" t="s">
        <v>562</v>
      </c>
      <c r="AW1" s="308" t="s">
        <v>563</v>
      </c>
      <c r="AX1" s="308" t="s">
        <v>564</v>
      </c>
      <c r="AY1" s="308" t="s">
        <v>565</v>
      </c>
      <c r="AZ1" s="309" t="s">
        <v>566</v>
      </c>
      <c r="BA1" s="308" t="s">
        <v>567</v>
      </c>
      <c r="BB1" s="308" t="s">
        <v>919</v>
      </c>
      <c r="BC1" s="308" t="s">
        <v>568</v>
      </c>
      <c r="BD1" s="308" t="s">
        <v>569</v>
      </c>
      <c r="BE1" s="308" t="s">
        <v>570</v>
      </c>
      <c r="BF1" s="308" t="s">
        <v>571</v>
      </c>
      <c r="BG1" s="308" t="s">
        <v>572</v>
      </c>
      <c r="BH1" s="308" t="s">
        <v>573</v>
      </c>
      <c r="BI1" s="308" t="s">
        <v>574</v>
      </c>
      <c r="BJ1" s="308" t="s">
        <v>575</v>
      </c>
      <c r="BK1" s="308" t="s">
        <v>576</v>
      </c>
      <c r="BL1" s="308" t="s">
        <v>577</v>
      </c>
      <c r="BM1" s="308" t="s">
        <v>578</v>
      </c>
      <c r="BN1" s="308" t="s">
        <v>579</v>
      </c>
      <c r="BO1" s="308" t="s">
        <v>580</v>
      </c>
      <c r="BP1" s="310" t="s">
        <v>581</v>
      </c>
      <c r="BQ1" s="310" t="s">
        <v>582</v>
      </c>
      <c r="BR1" s="310" t="s">
        <v>583</v>
      </c>
      <c r="BS1" s="310" t="s">
        <v>584</v>
      </c>
      <c r="BT1" s="310" t="s">
        <v>585</v>
      </c>
      <c r="BU1" s="310" t="s">
        <v>586</v>
      </c>
      <c r="BV1" s="310" t="s">
        <v>587</v>
      </c>
      <c r="BW1" s="310" t="s">
        <v>588</v>
      </c>
      <c r="BX1" s="310" t="s">
        <v>589</v>
      </c>
      <c r="BY1" s="310" t="s">
        <v>590</v>
      </c>
      <c r="BZ1" s="310" t="s">
        <v>591</v>
      </c>
      <c r="CA1" s="310" t="s">
        <v>592</v>
      </c>
      <c r="CB1" s="310" t="s">
        <v>593</v>
      </c>
      <c r="CC1" s="310" t="s">
        <v>594</v>
      </c>
      <c r="CD1" s="310" t="s">
        <v>595</v>
      </c>
      <c r="CE1" s="311" t="s">
        <v>596</v>
      </c>
      <c r="CF1" s="311" t="s">
        <v>597</v>
      </c>
      <c r="CG1" s="312" t="s">
        <v>598</v>
      </c>
      <c r="CH1" s="316" t="s">
        <v>599</v>
      </c>
      <c r="CI1" s="316" t="s">
        <v>600</v>
      </c>
      <c r="CJ1" s="316" t="s">
        <v>601</v>
      </c>
      <c r="CK1" s="316" t="s">
        <v>602</v>
      </c>
      <c r="CL1" s="316" t="s">
        <v>603</v>
      </c>
      <c r="CM1" s="316" t="s">
        <v>604</v>
      </c>
      <c r="CN1" s="308" t="s">
        <v>605</v>
      </c>
      <c r="CO1" s="308" t="s">
        <v>606</v>
      </c>
      <c r="CP1" s="308" t="s">
        <v>607</v>
      </c>
      <c r="CQ1" s="308" t="s">
        <v>608</v>
      </c>
      <c r="CR1" s="308" t="s">
        <v>609</v>
      </c>
      <c r="CS1" s="308" t="s">
        <v>610</v>
      </c>
      <c r="CT1" s="308" t="s">
        <v>611</v>
      </c>
      <c r="CU1" s="308" t="s">
        <v>612</v>
      </c>
      <c r="CV1" s="308" t="s">
        <v>613</v>
      </c>
      <c r="CW1" s="308" t="s">
        <v>614</v>
      </c>
      <c r="CX1" s="308" t="s">
        <v>615</v>
      </c>
      <c r="CY1" s="308" t="s">
        <v>616</v>
      </c>
      <c r="CZ1" s="308" t="s">
        <v>617</v>
      </c>
      <c r="DA1" s="308" t="s">
        <v>618</v>
      </c>
      <c r="DB1" s="308" t="s">
        <v>619</v>
      </c>
      <c r="DC1" s="308" t="s">
        <v>620</v>
      </c>
      <c r="DD1" s="308" t="s">
        <v>621</v>
      </c>
      <c r="DE1" s="309" t="s">
        <v>622</v>
      </c>
      <c r="DF1" s="308" t="s">
        <v>623</v>
      </c>
      <c r="DG1" s="308" t="s">
        <v>920</v>
      </c>
      <c r="DH1" s="308" t="s">
        <v>624</v>
      </c>
      <c r="DI1" s="308" t="s">
        <v>625</v>
      </c>
      <c r="DJ1" s="308" t="s">
        <v>626</v>
      </c>
      <c r="DK1" s="308" t="s">
        <v>627</v>
      </c>
      <c r="DL1" s="308" t="s">
        <v>628</v>
      </c>
      <c r="DM1" s="308" t="s">
        <v>629</v>
      </c>
      <c r="DN1" s="308" t="s">
        <v>630</v>
      </c>
      <c r="DO1" s="308" t="s">
        <v>631</v>
      </c>
      <c r="DP1" s="308" t="s">
        <v>632</v>
      </c>
      <c r="DQ1" s="308" t="s">
        <v>633</v>
      </c>
      <c r="DR1" s="308" t="s">
        <v>634</v>
      </c>
      <c r="DS1" s="308" t="s">
        <v>635</v>
      </c>
      <c r="DT1" s="308" t="s">
        <v>636</v>
      </c>
      <c r="DU1" s="310" t="s">
        <v>637</v>
      </c>
      <c r="DV1" s="310" t="s">
        <v>638</v>
      </c>
      <c r="DW1" s="310" t="s">
        <v>639</v>
      </c>
      <c r="DX1" s="310" t="s">
        <v>640</v>
      </c>
      <c r="DY1" s="310" t="s">
        <v>641</v>
      </c>
      <c r="DZ1" s="310" t="s">
        <v>642</v>
      </c>
      <c r="EA1" s="310" t="s">
        <v>643</v>
      </c>
      <c r="EB1" s="310" t="s">
        <v>644</v>
      </c>
      <c r="EC1" s="310" t="s">
        <v>645</v>
      </c>
      <c r="ED1" s="310" t="s">
        <v>646</v>
      </c>
      <c r="EE1" s="310" t="s">
        <v>647</v>
      </c>
      <c r="EF1" s="310" t="s">
        <v>648</v>
      </c>
      <c r="EG1" s="310" t="s">
        <v>649</v>
      </c>
      <c r="EH1" s="310" t="s">
        <v>650</v>
      </c>
      <c r="EI1" s="310" t="s">
        <v>651</v>
      </c>
      <c r="EJ1" s="311" t="s">
        <v>652</v>
      </c>
      <c r="EK1" s="311" t="s">
        <v>653</v>
      </c>
      <c r="EL1" s="312" t="s">
        <v>654</v>
      </c>
      <c r="EM1" s="316" t="s">
        <v>655</v>
      </c>
      <c r="EN1" s="316" t="s">
        <v>656</v>
      </c>
      <c r="EO1" s="316" t="s">
        <v>657</v>
      </c>
      <c r="EP1" s="316" t="s">
        <v>658</v>
      </c>
      <c r="EQ1" s="316" t="s">
        <v>659</v>
      </c>
      <c r="ER1" s="316" t="s">
        <v>660</v>
      </c>
      <c r="ES1" s="318" t="s">
        <v>736</v>
      </c>
      <c r="ET1" s="318" t="s">
        <v>737</v>
      </c>
      <c r="EU1" s="318" t="s">
        <v>738</v>
      </c>
      <c r="EV1" s="318" t="s">
        <v>917</v>
      </c>
      <c r="EW1" s="318" t="s">
        <v>739</v>
      </c>
    </row>
    <row r="2" spans="1:153">
      <c r="A2" t="str">
        <f>海外居住者のための収入等申告書!D11&amp;海外居住者のための収入等申告書!H11&amp;海外居住者のための収入等申告書!L11</f>
        <v/>
      </c>
      <c r="B2">
        <f ca="1">INDIRECT("計算シート!B"&amp;COLUMN(B1))</f>
        <v>125</v>
      </c>
      <c r="C2">
        <f t="shared" ref="C2:AH2" ca="1" si="0">INDIRECT("計算シート!B"&amp;COLUMN(C1))</f>
        <v>0</v>
      </c>
      <c r="D2">
        <f t="shared" ca="1" si="0"/>
        <v>0</v>
      </c>
      <c r="E2">
        <f t="shared" ca="1" si="0"/>
        <v>0</v>
      </c>
      <c r="F2">
        <f t="shared" ca="1" si="0"/>
        <v>0</v>
      </c>
      <c r="G2">
        <f t="shared" ca="1" si="0"/>
        <v>0</v>
      </c>
      <c r="H2">
        <f t="shared" ca="1" si="0"/>
        <v>0</v>
      </c>
      <c r="I2">
        <f t="shared" ca="1" si="0"/>
        <v>0</v>
      </c>
      <c r="J2" t="str">
        <f t="shared" ca="1" si="0"/>
        <v>ｐ</v>
      </c>
      <c r="K2">
        <f t="shared" ca="1" si="0"/>
        <v>0</v>
      </c>
      <c r="L2">
        <f t="shared" ca="1" si="0"/>
        <v>0</v>
      </c>
      <c r="M2">
        <f t="shared" ca="1" si="0"/>
        <v>0</v>
      </c>
      <c r="N2">
        <f t="shared" ca="1" si="0"/>
        <v>0</v>
      </c>
      <c r="O2">
        <f t="shared" ca="1" si="0"/>
        <v>0</v>
      </c>
      <c r="P2">
        <f t="shared" ca="1" si="0"/>
        <v>0</v>
      </c>
      <c r="Q2">
        <f t="shared" ca="1" si="0"/>
        <v>0</v>
      </c>
      <c r="R2">
        <f t="shared" ca="1" si="0"/>
        <v>0</v>
      </c>
      <c r="S2">
        <f t="shared" ca="1" si="0"/>
        <v>0</v>
      </c>
      <c r="T2">
        <f t="shared" ca="1" si="0"/>
        <v>260000</v>
      </c>
      <c r="U2">
        <f t="shared" ca="1" si="0"/>
        <v>0</v>
      </c>
      <c r="V2">
        <f t="shared" ca="1" si="0"/>
        <v>0</v>
      </c>
      <c r="W2">
        <f t="shared" ca="1" si="0"/>
        <v>430000</v>
      </c>
      <c r="X2">
        <f t="shared" ca="1" si="0"/>
        <v>0</v>
      </c>
      <c r="Y2">
        <f t="shared" ca="1" si="0"/>
        <v>0</v>
      </c>
      <c r="Z2">
        <f t="shared" ca="1" si="0"/>
        <v>450000</v>
      </c>
      <c r="AA2">
        <f t="shared" ca="1" si="0"/>
        <v>0</v>
      </c>
      <c r="AB2">
        <f t="shared" ca="1" si="0"/>
        <v>690000</v>
      </c>
      <c r="AC2">
        <f t="shared" ca="1" si="0"/>
        <v>0</v>
      </c>
      <c r="AD2">
        <f t="shared" ca="1" si="0"/>
        <v>0</v>
      </c>
      <c r="AE2">
        <f t="shared" ca="1" si="0"/>
        <v>0</v>
      </c>
      <c r="AF2">
        <f t="shared" ca="1" si="0"/>
        <v>60000</v>
      </c>
      <c r="AG2">
        <f t="shared" ca="1" si="0"/>
        <v>0</v>
      </c>
      <c r="AH2">
        <f t="shared" ca="1" si="0"/>
        <v>270000</v>
      </c>
      <c r="AI2">
        <f ca="1">INDIRECT("計算シート!c"&amp;COLUMN(AH1)-32)</f>
        <v>126</v>
      </c>
      <c r="AJ2">
        <f t="shared" ref="AJ2:CM2" ca="1" si="1">INDIRECT("計算シート!c"&amp;COLUMN(AI1)-32)</f>
        <v>0</v>
      </c>
      <c r="AK2">
        <f t="shared" ca="1" si="1"/>
        <v>0</v>
      </c>
      <c r="AL2">
        <f t="shared" ca="1" si="1"/>
        <v>0</v>
      </c>
      <c r="AM2">
        <f t="shared" ca="1" si="1"/>
        <v>0</v>
      </c>
      <c r="AN2">
        <f t="shared" ca="1" si="1"/>
        <v>0</v>
      </c>
      <c r="AO2">
        <f t="shared" ca="1" si="1"/>
        <v>0</v>
      </c>
      <c r="AP2">
        <f t="shared" ca="1" si="1"/>
        <v>1</v>
      </c>
      <c r="AQ2" t="str">
        <f t="shared" ca="1" si="1"/>
        <v>A</v>
      </c>
      <c r="AR2">
        <f t="shared" ca="1" si="1"/>
        <v>380000</v>
      </c>
      <c r="AS2">
        <f t="shared" ca="1" si="1"/>
        <v>330000</v>
      </c>
      <c r="AT2">
        <f t="shared" ca="1" si="1"/>
        <v>0</v>
      </c>
      <c r="AU2">
        <f t="shared" ca="1" si="1"/>
        <v>0</v>
      </c>
      <c r="AV2">
        <f t="shared" ca="1" si="1"/>
        <v>0</v>
      </c>
      <c r="AW2">
        <f t="shared" ca="1" si="1"/>
        <v>0</v>
      </c>
      <c r="AX2">
        <f t="shared" ca="1" si="1"/>
        <v>0</v>
      </c>
      <c r="AY2">
        <f t="shared" ca="1" si="1"/>
        <v>0</v>
      </c>
      <c r="AZ2">
        <f t="shared" ca="1" si="1"/>
        <v>0</v>
      </c>
      <c r="BA2">
        <f t="shared" ca="1" si="1"/>
        <v>0</v>
      </c>
      <c r="BB2">
        <f t="shared" ca="1" si="1"/>
        <v>0</v>
      </c>
      <c r="BC2">
        <f t="shared" ca="1" si="1"/>
        <v>0</v>
      </c>
      <c r="BD2">
        <f t="shared" ca="1" si="1"/>
        <v>430000</v>
      </c>
      <c r="BE2">
        <f t="shared" ca="1" si="1"/>
        <v>2</v>
      </c>
      <c r="BF2">
        <f t="shared" ca="1" si="1"/>
        <v>0</v>
      </c>
      <c r="BG2">
        <f t="shared" ca="1" si="1"/>
        <v>1470000</v>
      </c>
      <c r="BH2">
        <f t="shared" ca="1" si="1"/>
        <v>0</v>
      </c>
      <c r="BI2">
        <f t="shared" ca="1" si="1"/>
        <v>1140000</v>
      </c>
      <c r="BJ2">
        <f t="shared" ca="1" si="1"/>
        <v>0</v>
      </c>
      <c r="BK2">
        <f t="shared" ca="1" si="1"/>
        <v>0</v>
      </c>
      <c r="BL2">
        <f t="shared" ca="1" si="1"/>
        <v>100000</v>
      </c>
      <c r="BM2">
        <f t="shared" ca="1" si="1"/>
        <v>200000</v>
      </c>
      <c r="BN2">
        <f t="shared" ca="1" si="1"/>
        <v>0</v>
      </c>
      <c r="BO2">
        <f t="shared" ca="1" si="1"/>
        <v>882000</v>
      </c>
      <c r="BP2">
        <f t="shared" ca="1" si="1"/>
        <v>0</v>
      </c>
      <c r="BQ2">
        <f t="shared" ca="1" si="1"/>
        <v>0</v>
      </c>
      <c r="BR2">
        <f t="shared" ca="1" si="1"/>
        <v>1</v>
      </c>
      <c r="BS2">
        <f t="shared" ca="1" si="1"/>
        <v>0</v>
      </c>
      <c r="BT2">
        <f t="shared" ca="1" si="1"/>
        <v>0</v>
      </c>
      <c r="BU2">
        <f t="shared" ca="1" si="1"/>
        <v>0</v>
      </c>
      <c r="BV2">
        <f t="shared" ca="1" si="1"/>
        <v>0</v>
      </c>
      <c r="BW2">
        <f t="shared" ca="1" si="1"/>
        <v>0</v>
      </c>
      <c r="BX2">
        <f t="shared" ca="1" si="1"/>
        <v>0</v>
      </c>
      <c r="BY2">
        <f t="shared" ca="1" si="1"/>
        <v>4</v>
      </c>
      <c r="BZ2">
        <f t="shared" ca="1" si="1"/>
        <v>2026</v>
      </c>
      <c r="CA2">
        <f t="shared" ca="1" si="1"/>
        <v>1</v>
      </c>
      <c r="CB2">
        <f t="shared" ca="1" si="1"/>
        <v>46023</v>
      </c>
      <c r="CC2">
        <f t="shared" ca="1" si="1"/>
        <v>2024</v>
      </c>
      <c r="CD2">
        <f t="shared" ca="1" si="1"/>
        <v>2025</v>
      </c>
      <c r="CE2">
        <f t="shared" ca="1" si="1"/>
        <v>2</v>
      </c>
      <c r="CF2">
        <f t="shared" ca="1" si="1"/>
        <v>1</v>
      </c>
      <c r="CG2">
        <f t="shared" ca="1" si="1"/>
        <v>0</v>
      </c>
      <c r="CH2">
        <f t="shared" ca="1" si="1"/>
        <v>0</v>
      </c>
      <c r="CI2">
        <f t="shared" ca="1" si="1"/>
        <v>0</v>
      </c>
      <c r="CJ2">
        <f t="shared" ca="1" si="1"/>
        <v>0</v>
      </c>
      <c r="CK2">
        <f t="shared" ca="1" si="1"/>
        <v>1</v>
      </c>
      <c r="CL2">
        <f t="shared" ca="1" si="1"/>
        <v>125</v>
      </c>
      <c r="CM2">
        <f t="shared" ca="1" si="1"/>
        <v>1000</v>
      </c>
      <c r="CN2">
        <f ca="1">INDIRECT("計算シート!d"&amp;COLUMN(CM1)-89)</f>
        <v>126</v>
      </c>
      <c r="CO2">
        <f t="shared" ref="CO2:ER2" ca="1" si="2">INDIRECT("計算シート!d"&amp;COLUMN(CN1)-89)</f>
        <v>0</v>
      </c>
      <c r="CP2">
        <f t="shared" ca="1" si="2"/>
        <v>0</v>
      </c>
      <c r="CQ2">
        <f t="shared" ca="1" si="2"/>
        <v>0</v>
      </c>
      <c r="CR2">
        <f t="shared" ca="1" si="2"/>
        <v>0</v>
      </c>
      <c r="CS2">
        <f t="shared" ca="1" si="2"/>
        <v>0</v>
      </c>
      <c r="CT2">
        <f t="shared" ca="1" si="2"/>
        <v>0</v>
      </c>
      <c r="CU2">
        <f t="shared" ca="1" si="2"/>
        <v>1</v>
      </c>
      <c r="CV2" t="str">
        <f t="shared" ca="1" si="2"/>
        <v>e</v>
      </c>
      <c r="CW2">
        <f t="shared" ca="1" si="2"/>
        <v>0</v>
      </c>
      <c r="CX2">
        <f t="shared" ca="1" si="2"/>
        <v>0</v>
      </c>
      <c r="CY2">
        <f t="shared" ca="1" si="2"/>
        <v>0</v>
      </c>
      <c r="CZ2">
        <f t="shared" ca="1" si="2"/>
        <v>0</v>
      </c>
      <c r="DA2">
        <f t="shared" ca="1" si="2"/>
        <v>0</v>
      </c>
      <c r="DB2">
        <f t="shared" ca="1" si="2"/>
        <v>0</v>
      </c>
      <c r="DC2">
        <f t="shared" ca="1" si="2"/>
        <v>0</v>
      </c>
      <c r="DD2">
        <f t="shared" ca="1" si="2"/>
        <v>0</v>
      </c>
      <c r="DE2">
        <f t="shared" ca="1" si="2"/>
        <v>0</v>
      </c>
      <c r="DF2">
        <f t="shared" ca="1" si="2"/>
        <v>0</v>
      </c>
      <c r="DG2">
        <f t="shared" ca="1" si="2"/>
        <v>0</v>
      </c>
      <c r="DH2">
        <f t="shared" ca="1" si="2"/>
        <v>0</v>
      </c>
      <c r="DI2">
        <f t="shared" ca="1" si="2"/>
        <v>430000</v>
      </c>
      <c r="DJ2">
        <f t="shared" ca="1" si="2"/>
        <v>0</v>
      </c>
      <c r="DK2">
        <f t="shared" ca="1" si="2"/>
        <v>0</v>
      </c>
      <c r="DL2">
        <f t="shared" ca="1" si="2"/>
        <v>450000</v>
      </c>
      <c r="DM2">
        <f t="shared" ca="1" si="2"/>
        <v>0</v>
      </c>
      <c r="DN2">
        <f t="shared" ca="1" si="2"/>
        <v>430000</v>
      </c>
      <c r="DO2">
        <f t="shared" ca="1" si="2"/>
        <v>0</v>
      </c>
      <c r="DP2">
        <f t="shared" ca="1" si="2"/>
        <v>0</v>
      </c>
      <c r="DQ2">
        <f t="shared" ca="1" si="2"/>
        <v>0</v>
      </c>
      <c r="DR2">
        <f t="shared" ca="1" si="2"/>
        <v>50000</v>
      </c>
      <c r="DS2">
        <f t="shared" ca="1" si="2"/>
        <v>0</v>
      </c>
      <c r="DT2">
        <f t="shared" ca="1" si="2"/>
        <v>270000</v>
      </c>
      <c r="DU2">
        <f t="shared" ca="1" si="2"/>
        <v>0</v>
      </c>
      <c r="DV2">
        <f t="shared" ca="1" si="2"/>
        <v>0</v>
      </c>
      <c r="DW2">
        <f t="shared" ca="1" si="2"/>
        <v>0</v>
      </c>
      <c r="DX2">
        <f t="shared" ca="1" si="2"/>
        <v>0</v>
      </c>
      <c r="DY2">
        <f t="shared" ca="1" si="2"/>
        <v>0</v>
      </c>
      <c r="DZ2">
        <f t="shared" ca="1" si="2"/>
        <v>0</v>
      </c>
      <c r="EA2">
        <f t="shared" ca="1" si="2"/>
        <v>0</v>
      </c>
      <c r="EB2">
        <f t="shared" ca="1" si="2"/>
        <v>0</v>
      </c>
      <c r="EC2">
        <f t="shared" ca="1" si="2"/>
        <v>0</v>
      </c>
      <c r="ED2">
        <f t="shared" ca="1" si="2"/>
        <v>0</v>
      </c>
      <c r="EE2">
        <f t="shared" ca="1" si="2"/>
        <v>0</v>
      </c>
      <c r="EF2">
        <f t="shared" ca="1" si="2"/>
        <v>0</v>
      </c>
      <c r="EG2">
        <f t="shared" ca="1" si="2"/>
        <v>0</v>
      </c>
      <c r="EH2">
        <f t="shared" ca="1" si="2"/>
        <v>0</v>
      </c>
      <c r="EI2">
        <f t="shared" ca="1" si="2"/>
        <v>0</v>
      </c>
      <c r="EJ2">
        <f t="shared" ca="1" si="2"/>
        <v>0</v>
      </c>
      <c r="EK2">
        <f t="shared" ca="1" si="2"/>
        <v>0</v>
      </c>
      <c r="EL2">
        <f t="shared" ca="1" si="2"/>
        <v>0</v>
      </c>
      <c r="EM2">
        <f t="shared" ca="1" si="2"/>
        <v>0</v>
      </c>
      <c r="EN2">
        <f t="shared" ca="1" si="2"/>
        <v>0</v>
      </c>
      <c r="EO2">
        <f t="shared" ca="1" si="2"/>
        <v>0</v>
      </c>
      <c r="EP2">
        <f t="shared" ca="1" si="2"/>
        <v>0</v>
      </c>
      <c r="EQ2">
        <f t="shared" ca="1" si="2"/>
        <v>0</v>
      </c>
      <c r="ER2">
        <f t="shared" ca="1" si="2"/>
        <v>0</v>
      </c>
      <c r="ES2">
        <f>計算シート!C63</f>
        <v>0</v>
      </c>
      <c r="ET2">
        <f>計算シート!D63</f>
        <v>0</v>
      </c>
      <c r="EU2">
        <f>計算シート!C66</f>
        <v>1</v>
      </c>
      <c r="EV2">
        <f>計算シート!C67</f>
        <v>1</v>
      </c>
      <c r="EW2">
        <f>計算シート!C68</f>
        <v>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5</vt:i4>
      </vt:variant>
    </vt:vector>
  </HeadingPairs>
  <TitlesOfParts>
    <vt:vector size="21" baseType="lpstr">
      <vt:lpstr>海外居住者のための収入等申告書</vt:lpstr>
      <vt:lpstr>記入例と注意事項</vt:lpstr>
      <vt:lpstr>【経済基準の適格認定】記入例と注意事項</vt:lpstr>
      <vt:lpstr>【採用の申込み】記入例と注意事項（旧）</vt:lpstr>
      <vt:lpstr>前年レート</vt:lpstr>
      <vt:lpstr>当年レート</vt:lpstr>
      <vt:lpstr>計算シート</vt:lpstr>
      <vt:lpstr>計算シート2(特定親族)</vt:lpstr>
      <vt:lpstr>出力用</vt:lpstr>
      <vt:lpstr>T11所得区分</vt:lpstr>
      <vt:lpstr>T12給与所得</vt:lpstr>
      <vt:lpstr>T12給与所得改正後</vt:lpstr>
      <vt:lpstr>T13人的控除</vt:lpstr>
      <vt:lpstr>T15調整控除</vt:lpstr>
      <vt:lpstr>T16税率等</vt:lpstr>
      <vt:lpstr>修正履歴</vt:lpstr>
      <vt:lpstr>【経済基準の適格認定】記入例と注意事項!Print_Area</vt:lpstr>
      <vt:lpstr>'【採用の申込み】記入例と注意事項（旧）'!Print_Area</vt:lpstr>
      <vt:lpstr>海外居住者のための収入等申告書!Print_Area</vt:lpstr>
      <vt:lpstr>記入例と注意事項!Print_Area</vt:lpstr>
      <vt:lpstr>計算シート!Print_Area</vt:lpstr>
    </vt:vector>
  </TitlesOfParts>
  <Manager/>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海外居住者のための収入等申告書</dc:title>
  <dc:creator>JASSO</dc:creator>
  <cp:lastPrinted>2025-03-13T01:24:59Z</cp:lastPrinted>
  <dcterms:created xsi:type="dcterms:W3CDTF">2006-09-16T00:00:00Z</dcterms:created>
  <dcterms:modified xsi:type="dcterms:W3CDTF">2026-07-01T11:14:05Z</dcterms:modified>
</cp:coreProperties>
</file>